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15" windowWidth="15570" windowHeight="11280" tabRatio="648"/>
  </bookViews>
  <sheets>
    <sheet name="1" sheetId="2" r:id="rId1"/>
    <sheet name="2" sheetId="19" r:id="rId2"/>
    <sheet name="3" sheetId="20" r:id="rId3"/>
    <sheet name="4" sheetId="22" r:id="rId4"/>
    <sheet name="5" sheetId="21" r:id="rId5"/>
    <sheet name="6" sheetId="26" r:id="rId6"/>
    <sheet name="7" sheetId="25" r:id="rId7"/>
    <sheet name="8" sheetId="24" r:id="rId8"/>
    <sheet name="ЗП" sheetId="3" r:id="rId9"/>
    <sheet name="Материалы, инвентарь" sheetId="6" r:id="rId10"/>
    <sheet name="Спец одежда" sheetId="8" r:id="rId11"/>
  </sheets>
  <definedNames>
    <definedName name="_xlnm.Print_Area" localSheetId="0">'1'!$A$1:$T$47</definedName>
  </definedNames>
  <calcPr calcId="144525"/>
</workbook>
</file>

<file path=xl/calcChain.xml><?xml version="1.0" encoding="utf-8"?>
<calcChain xmlns="http://schemas.openxmlformats.org/spreadsheetml/2006/main">
  <c r="C15" i="2" l="1"/>
  <c r="D15" i="2" s="1"/>
  <c r="F15" i="2"/>
  <c r="G15" i="2"/>
  <c r="C16" i="2"/>
  <c r="D16" i="2" s="1"/>
  <c r="F16" i="2"/>
  <c r="G16" i="2"/>
  <c r="H16" i="2" l="1"/>
  <c r="E16" i="2"/>
  <c r="H15" i="2"/>
  <c r="E15" i="2"/>
  <c r="I15" i="2" l="1"/>
  <c r="J15" i="2" s="1"/>
  <c r="I16" i="2"/>
  <c r="J16" i="2" s="1"/>
  <c r="L15" i="2" l="1"/>
  <c r="K15" i="2"/>
  <c r="N15" i="2"/>
  <c r="O15" i="2" s="1"/>
  <c r="P15" i="2" s="1"/>
  <c r="K16" i="2"/>
  <c r="L16" i="2" s="1"/>
  <c r="N16" i="2" l="1"/>
  <c r="O16" i="2" s="1"/>
  <c r="P16" i="2" s="1"/>
  <c r="P36" i="19" l="1"/>
  <c r="P34" i="19"/>
  <c r="P31" i="19"/>
  <c r="P28" i="19"/>
  <c r="P16" i="19"/>
  <c r="P25" i="19"/>
  <c r="T48" i="26"/>
  <c r="T46" i="26"/>
  <c r="T28" i="26"/>
  <c r="T20" i="26"/>
  <c r="T15" i="26"/>
  <c r="R48" i="26"/>
  <c r="T40" i="25"/>
  <c r="T22" i="25"/>
  <c r="T15" i="25"/>
  <c r="R42" i="25"/>
  <c r="O41" i="25"/>
  <c r="N41" i="25"/>
  <c r="P40" i="25"/>
  <c r="G39" i="25"/>
  <c r="F39" i="25"/>
  <c r="C39" i="25"/>
  <c r="D39" i="25" s="1"/>
  <c r="G38" i="25"/>
  <c r="F38" i="25"/>
  <c r="C38" i="25"/>
  <c r="D38" i="25" s="1"/>
  <c r="T37" i="25"/>
  <c r="T36" i="25"/>
  <c r="O36" i="25"/>
  <c r="N36" i="25"/>
  <c r="P35" i="25"/>
  <c r="T35" i="25" s="1"/>
  <c r="T34" i="25" s="1"/>
  <c r="P34" i="25"/>
  <c r="G33" i="25"/>
  <c r="C33" i="25"/>
  <c r="D33" i="25" s="1"/>
  <c r="G32" i="25"/>
  <c r="C32" i="25"/>
  <c r="D32" i="25" s="1"/>
  <c r="G30" i="25"/>
  <c r="C30" i="25"/>
  <c r="B30" i="25"/>
  <c r="G29" i="25"/>
  <c r="C29" i="25"/>
  <c r="D29" i="25" s="1"/>
  <c r="G28" i="25"/>
  <c r="F28" i="25"/>
  <c r="C28" i="25"/>
  <c r="D28" i="25" s="1"/>
  <c r="G27" i="25"/>
  <c r="C27" i="25"/>
  <c r="D27" i="25" s="1"/>
  <c r="G26" i="25"/>
  <c r="C26" i="25"/>
  <c r="D26" i="25" s="1"/>
  <c r="G25" i="25"/>
  <c r="C25" i="25"/>
  <c r="D25" i="25" s="1"/>
  <c r="G24" i="25"/>
  <c r="C24" i="25"/>
  <c r="D24" i="25" s="1"/>
  <c r="G23" i="25"/>
  <c r="C23" i="25"/>
  <c r="D23" i="25" s="1"/>
  <c r="H23" i="25" s="1"/>
  <c r="G21" i="25"/>
  <c r="C21" i="25"/>
  <c r="D21" i="25" s="1"/>
  <c r="H21" i="25" s="1"/>
  <c r="G20" i="25"/>
  <c r="D20" i="25"/>
  <c r="C20" i="25"/>
  <c r="G19" i="25"/>
  <c r="C19" i="25"/>
  <c r="D19" i="25" s="1"/>
  <c r="G18" i="25"/>
  <c r="C18" i="25"/>
  <c r="D18" i="25" s="1"/>
  <c r="G17" i="25"/>
  <c r="C17" i="25"/>
  <c r="D17" i="25" s="1"/>
  <c r="G16" i="25"/>
  <c r="C16" i="25"/>
  <c r="D16" i="25" s="1"/>
  <c r="T30" i="24"/>
  <c r="T28" i="24"/>
  <c r="T16" i="24"/>
  <c r="T14" i="24"/>
  <c r="R30" i="24"/>
  <c r="O29" i="24"/>
  <c r="N29" i="24"/>
  <c r="P28" i="24"/>
  <c r="G27" i="24"/>
  <c r="F27" i="24"/>
  <c r="C27" i="24"/>
  <c r="D27" i="24" s="1"/>
  <c r="G26" i="24"/>
  <c r="F26" i="24"/>
  <c r="C26" i="24"/>
  <c r="D26" i="24" s="1"/>
  <c r="T25" i="24"/>
  <c r="T24" i="24"/>
  <c r="O24" i="24"/>
  <c r="N24" i="24" s="1"/>
  <c r="T23" i="24"/>
  <c r="O23" i="24"/>
  <c r="N23" i="24" s="1"/>
  <c r="T22" i="24"/>
  <c r="P22" i="24"/>
  <c r="G21" i="24"/>
  <c r="C21" i="24"/>
  <c r="B21" i="24"/>
  <c r="G20" i="24"/>
  <c r="C20" i="24"/>
  <c r="D20" i="24" s="1"/>
  <c r="G19" i="24"/>
  <c r="C19" i="24"/>
  <c r="D19" i="24" s="1"/>
  <c r="G18" i="24"/>
  <c r="C18" i="24"/>
  <c r="D18" i="24" s="1"/>
  <c r="G17" i="24"/>
  <c r="C17" i="24"/>
  <c r="D17" i="24" s="1"/>
  <c r="G15" i="24"/>
  <c r="C15" i="24"/>
  <c r="D15" i="24" s="1"/>
  <c r="O47" i="26"/>
  <c r="N47" i="26"/>
  <c r="P46" i="26"/>
  <c r="G45" i="26"/>
  <c r="F45" i="26"/>
  <c r="C45" i="26"/>
  <c r="D45" i="26" s="1"/>
  <c r="G44" i="26"/>
  <c r="F44" i="26"/>
  <c r="C44" i="26"/>
  <c r="D44" i="26" s="1"/>
  <c r="T43" i="26"/>
  <c r="T42" i="26"/>
  <c r="O42" i="26"/>
  <c r="N42" i="26"/>
  <c r="P41" i="26"/>
  <c r="T41" i="26" s="1"/>
  <c r="T40" i="26" s="1"/>
  <c r="P40" i="26"/>
  <c r="G39" i="26"/>
  <c r="C39" i="26"/>
  <c r="D39" i="26" s="1"/>
  <c r="G38" i="26"/>
  <c r="C38" i="26"/>
  <c r="D38" i="26" s="1"/>
  <c r="G36" i="26"/>
  <c r="C36" i="26"/>
  <c r="B36" i="26"/>
  <c r="G35" i="26"/>
  <c r="C35" i="26"/>
  <c r="D35" i="26" s="1"/>
  <c r="G34" i="26"/>
  <c r="F34" i="26"/>
  <c r="C34" i="26"/>
  <c r="D34" i="26" s="1"/>
  <c r="G33" i="26"/>
  <c r="C33" i="26"/>
  <c r="D33" i="26" s="1"/>
  <c r="G32" i="26"/>
  <c r="C32" i="26"/>
  <c r="D32" i="26" s="1"/>
  <c r="G31" i="26"/>
  <c r="C31" i="26"/>
  <c r="D31" i="26" s="1"/>
  <c r="H31" i="26" s="1"/>
  <c r="G30" i="26"/>
  <c r="C30" i="26"/>
  <c r="D30" i="26" s="1"/>
  <c r="G29" i="26"/>
  <c r="C29" i="26"/>
  <c r="D29" i="26" s="1"/>
  <c r="H29" i="26" s="1"/>
  <c r="G27" i="26"/>
  <c r="C27" i="26"/>
  <c r="D27" i="26" s="1"/>
  <c r="H27" i="26" s="1"/>
  <c r="G26" i="26"/>
  <c r="C26" i="26"/>
  <c r="D26" i="26" s="1"/>
  <c r="G25" i="26"/>
  <c r="C25" i="26"/>
  <c r="D25" i="26" s="1"/>
  <c r="G24" i="26"/>
  <c r="C24" i="26"/>
  <c r="D24" i="26" s="1"/>
  <c r="G23" i="26"/>
  <c r="D23" i="26"/>
  <c r="C23" i="26"/>
  <c r="G22" i="26"/>
  <c r="C22" i="26"/>
  <c r="D22" i="26" s="1"/>
  <c r="G21" i="26"/>
  <c r="C21" i="26"/>
  <c r="D21" i="26" s="1"/>
  <c r="G19" i="26"/>
  <c r="F19" i="26"/>
  <c r="C19" i="26"/>
  <c r="D19" i="26" s="1"/>
  <c r="G18" i="26"/>
  <c r="F18" i="26"/>
  <c r="C18" i="26"/>
  <c r="D18" i="26" s="1"/>
  <c r="G17" i="26"/>
  <c r="F17" i="26"/>
  <c r="C17" i="26"/>
  <c r="D17" i="26" s="1"/>
  <c r="G16" i="26"/>
  <c r="F16" i="26"/>
  <c r="C16" i="26"/>
  <c r="D16" i="26" s="1"/>
  <c r="T42" i="22"/>
  <c r="T40" i="22"/>
  <c r="T37" i="22"/>
  <c r="T22" i="22"/>
  <c r="T15" i="22"/>
  <c r="R42" i="22"/>
  <c r="O41" i="22"/>
  <c r="N41" i="22"/>
  <c r="P40" i="22"/>
  <c r="G39" i="22"/>
  <c r="F39" i="22"/>
  <c r="C39" i="22"/>
  <c r="D39" i="22" s="1"/>
  <c r="G38" i="22"/>
  <c r="F38" i="22"/>
  <c r="C38" i="22"/>
  <c r="D38" i="22" s="1"/>
  <c r="T36" i="22"/>
  <c r="O36" i="22"/>
  <c r="N36" i="22" s="1"/>
  <c r="P35" i="22"/>
  <c r="T35" i="22" s="1"/>
  <c r="T34" i="22" s="1"/>
  <c r="G33" i="22"/>
  <c r="C33" i="22"/>
  <c r="D33" i="22" s="1"/>
  <c r="G32" i="22"/>
  <c r="C32" i="22"/>
  <c r="D32" i="22" s="1"/>
  <c r="G30" i="22"/>
  <c r="C30" i="22"/>
  <c r="B30" i="22"/>
  <c r="G29" i="22"/>
  <c r="C29" i="22"/>
  <c r="D29" i="22" s="1"/>
  <c r="G28" i="22"/>
  <c r="F28" i="22"/>
  <c r="C28" i="22"/>
  <c r="D28" i="22" s="1"/>
  <c r="G27" i="22"/>
  <c r="C27" i="22"/>
  <c r="D27" i="22" s="1"/>
  <c r="G26" i="22"/>
  <c r="C26" i="22"/>
  <c r="D26" i="22" s="1"/>
  <c r="G25" i="22"/>
  <c r="C25" i="22"/>
  <c r="D25" i="22" s="1"/>
  <c r="H25" i="22" s="1"/>
  <c r="G24" i="22"/>
  <c r="C24" i="22"/>
  <c r="D24" i="22" s="1"/>
  <c r="G23" i="22"/>
  <c r="C23" i="22"/>
  <c r="D23" i="22" s="1"/>
  <c r="H23" i="22" s="1"/>
  <c r="G21" i="22"/>
  <c r="C21" i="22"/>
  <c r="D21" i="22" s="1"/>
  <c r="H21" i="22" s="1"/>
  <c r="G20" i="22"/>
  <c r="C20" i="22"/>
  <c r="D20" i="22" s="1"/>
  <c r="G19" i="22"/>
  <c r="C19" i="22"/>
  <c r="D19" i="22" s="1"/>
  <c r="G18" i="22"/>
  <c r="C18" i="22"/>
  <c r="D18" i="22" s="1"/>
  <c r="G17" i="22"/>
  <c r="C17" i="22"/>
  <c r="D17" i="22" s="1"/>
  <c r="G16" i="22"/>
  <c r="C16" i="22"/>
  <c r="D16" i="22" s="1"/>
  <c r="R30" i="21"/>
  <c r="R48" i="20"/>
  <c r="T28" i="21"/>
  <c r="T25" i="21"/>
  <c r="T22" i="21"/>
  <c r="T24" i="21"/>
  <c r="T23" i="21"/>
  <c r="T16" i="21"/>
  <c r="T14" i="21"/>
  <c r="P28" i="21"/>
  <c r="P22" i="21"/>
  <c r="B21" i="21"/>
  <c r="C21" i="21"/>
  <c r="G21" i="21"/>
  <c r="T48" i="20"/>
  <c r="T43" i="20"/>
  <c r="T40" i="20"/>
  <c r="T15" i="20"/>
  <c r="T46" i="20"/>
  <c r="T42" i="20"/>
  <c r="T41" i="20"/>
  <c r="T28" i="20"/>
  <c r="T20" i="20"/>
  <c r="R47" i="2"/>
  <c r="P41" i="20"/>
  <c r="O46" i="2"/>
  <c r="P29" i="19"/>
  <c r="D21" i="24" l="1"/>
  <c r="E21" i="24" s="1"/>
  <c r="D30" i="25"/>
  <c r="E30" i="25" s="1"/>
  <c r="D36" i="26"/>
  <c r="E36" i="26" s="1"/>
  <c r="E27" i="26"/>
  <c r="I27" i="26" s="1"/>
  <c r="J27" i="26" s="1"/>
  <c r="E29" i="26"/>
  <c r="E21" i="22"/>
  <c r="T42" i="25"/>
  <c r="H17" i="25"/>
  <c r="E17" i="25"/>
  <c r="I17" i="25" s="1"/>
  <c r="H19" i="25"/>
  <c r="E19" i="25"/>
  <c r="I19" i="25" s="1"/>
  <c r="E16" i="25"/>
  <c r="H16" i="25"/>
  <c r="E18" i="25"/>
  <c r="I18" i="25" s="1"/>
  <c r="H18" i="25"/>
  <c r="E20" i="25"/>
  <c r="I20" i="25" s="1"/>
  <c r="H20" i="25"/>
  <c r="E21" i="25"/>
  <c r="I21" i="25" s="1"/>
  <c r="J21" i="25" s="1"/>
  <c r="E23" i="25"/>
  <c r="H27" i="25"/>
  <c r="E27" i="25"/>
  <c r="H32" i="25"/>
  <c r="E32" i="25"/>
  <c r="H39" i="25"/>
  <c r="E39" i="25"/>
  <c r="I39" i="25" s="1"/>
  <c r="I16" i="25"/>
  <c r="H25" i="25"/>
  <c r="E25" i="25"/>
  <c r="I25" i="25" s="1"/>
  <c r="H38" i="25"/>
  <c r="E38" i="25"/>
  <c r="I38" i="25" s="1"/>
  <c r="H28" i="25"/>
  <c r="E24" i="25"/>
  <c r="I24" i="25" s="1"/>
  <c r="H24" i="25"/>
  <c r="E26" i="25"/>
  <c r="H26" i="25"/>
  <c r="E28" i="25"/>
  <c r="I28" i="25" s="1"/>
  <c r="E29" i="25"/>
  <c r="I29" i="25" s="1"/>
  <c r="H29" i="25"/>
  <c r="E33" i="25"/>
  <c r="H33" i="25"/>
  <c r="O35" i="25"/>
  <c r="N35" i="25" s="1"/>
  <c r="H17" i="24"/>
  <c r="E17" i="24"/>
  <c r="H26" i="24"/>
  <c r="E26" i="24"/>
  <c r="H15" i="24"/>
  <c r="E15" i="24"/>
  <c r="I15" i="24" s="1"/>
  <c r="H19" i="24"/>
  <c r="E19" i="24"/>
  <c r="H27" i="24"/>
  <c r="E27" i="24"/>
  <c r="E18" i="24"/>
  <c r="H18" i="24"/>
  <c r="E20" i="24"/>
  <c r="I20" i="24" s="1"/>
  <c r="H20" i="24"/>
  <c r="H16" i="26"/>
  <c r="H17" i="26"/>
  <c r="H18" i="26"/>
  <c r="E18" i="26"/>
  <c r="E22" i="26"/>
  <c r="I22" i="26" s="1"/>
  <c r="H22" i="26"/>
  <c r="H26" i="26"/>
  <c r="E26" i="26"/>
  <c r="I26" i="26" s="1"/>
  <c r="E16" i="26"/>
  <c r="E17" i="26"/>
  <c r="H19" i="26"/>
  <c r="E19" i="26"/>
  <c r="I19" i="26" s="1"/>
  <c r="H24" i="26"/>
  <c r="E24" i="26"/>
  <c r="E21" i="26"/>
  <c r="I21" i="26" s="1"/>
  <c r="H21" i="26"/>
  <c r="E23" i="26"/>
  <c r="H23" i="26"/>
  <c r="E25" i="26"/>
  <c r="I25" i="26" s="1"/>
  <c r="H25" i="26"/>
  <c r="I29" i="26"/>
  <c r="J29" i="26" s="1"/>
  <c r="E31" i="26"/>
  <c r="I31" i="26" s="1"/>
  <c r="J31" i="26" s="1"/>
  <c r="H32" i="26"/>
  <c r="E32" i="26"/>
  <c r="H33" i="26"/>
  <c r="E33" i="26"/>
  <c r="I33" i="26" s="1"/>
  <c r="H38" i="26"/>
  <c r="E38" i="26"/>
  <c r="I38" i="26" s="1"/>
  <c r="H45" i="26"/>
  <c r="E45" i="26"/>
  <c r="H30" i="26"/>
  <c r="E30" i="26"/>
  <c r="I30" i="26" s="1"/>
  <c r="H36" i="26"/>
  <c r="H44" i="26"/>
  <c r="E44" i="26"/>
  <c r="I44" i="26" s="1"/>
  <c r="H34" i="26"/>
  <c r="E34" i="26"/>
  <c r="I34" i="26" s="1"/>
  <c r="E35" i="26"/>
  <c r="I35" i="26" s="1"/>
  <c r="H35" i="26"/>
  <c r="E39" i="26"/>
  <c r="I39" i="26" s="1"/>
  <c r="H39" i="26"/>
  <c r="O41" i="26"/>
  <c r="N41" i="26" s="1"/>
  <c r="E23" i="22"/>
  <c r="I23" i="22" s="1"/>
  <c r="J23" i="22" s="1"/>
  <c r="D30" i="22"/>
  <c r="E30" i="22" s="1"/>
  <c r="P34" i="22"/>
  <c r="H17" i="22"/>
  <c r="E17" i="22"/>
  <c r="H20" i="22"/>
  <c r="E20" i="22"/>
  <c r="I20" i="22" s="1"/>
  <c r="D42" i="22"/>
  <c r="H18" i="22"/>
  <c r="E18" i="22"/>
  <c r="E16" i="22"/>
  <c r="I16" i="22" s="1"/>
  <c r="H16" i="22"/>
  <c r="E19" i="22"/>
  <c r="I19" i="22" s="1"/>
  <c r="H19" i="22"/>
  <c r="I21" i="22"/>
  <c r="E25" i="22"/>
  <c r="H27" i="22"/>
  <c r="E27" i="22"/>
  <c r="I27" i="22" s="1"/>
  <c r="H32" i="22"/>
  <c r="E32" i="22"/>
  <c r="I32" i="22" s="1"/>
  <c r="H39" i="22"/>
  <c r="E39" i="22"/>
  <c r="H24" i="22"/>
  <c r="E24" i="22"/>
  <c r="I24" i="22" s="1"/>
  <c r="H30" i="22"/>
  <c r="H38" i="22"/>
  <c r="E38" i="22"/>
  <c r="I38" i="22" s="1"/>
  <c r="H28" i="22"/>
  <c r="E26" i="22"/>
  <c r="I26" i="22" s="1"/>
  <c r="H26" i="22"/>
  <c r="E28" i="22"/>
  <c r="I28" i="22" s="1"/>
  <c r="E29" i="22"/>
  <c r="I29" i="22" s="1"/>
  <c r="H29" i="22"/>
  <c r="E33" i="22"/>
  <c r="H33" i="22"/>
  <c r="O35" i="22"/>
  <c r="N35" i="22" s="1"/>
  <c r="T30" i="21"/>
  <c r="D21" i="21"/>
  <c r="E21" i="21" s="1"/>
  <c r="I21" i="21" s="1"/>
  <c r="T39" i="2"/>
  <c r="T47" i="2" s="1"/>
  <c r="D48" i="26" l="1"/>
  <c r="J39" i="25"/>
  <c r="H21" i="24"/>
  <c r="I21" i="24"/>
  <c r="I19" i="24"/>
  <c r="J19" i="24" s="1"/>
  <c r="K19" i="24" s="1"/>
  <c r="J20" i="24"/>
  <c r="D30" i="24"/>
  <c r="I17" i="24"/>
  <c r="J17" i="24" s="1"/>
  <c r="J28" i="25"/>
  <c r="J38" i="25"/>
  <c r="H30" i="25"/>
  <c r="D42" i="25"/>
  <c r="J16" i="25"/>
  <c r="I30" i="25"/>
  <c r="J30" i="25" s="1"/>
  <c r="K30" i="25" s="1"/>
  <c r="L30" i="25" s="1"/>
  <c r="N30" i="25" s="1"/>
  <c r="O30" i="25" s="1"/>
  <c r="P30" i="25" s="1"/>
  <c r="I26" i="25"/>
  <c r="J26" i="25" s="1"/>
  <c r="K26" i="25" s="1"/>
  <c r="L26" i="25" s="1"/>
  <c r="N26" i="25" s="1"/>
  <c r="O26" i="25" s="1"/>
  <c r="P26" i="25" s="1"/>
  <c r="I32" i="25"/>
  <c r="J32" i="25" s="1"/>
  <c r="K32" i="25" s="1"/>
  <c r="I23" i="25"/>
  <c r="J23" i="25" s="1"/>
  <c r="K23" i="25" s="1"/>
  <c r="L23" i="25" s="1"/>
  <c r="N23" i="25" s="1"/>
  <c r="O23" i="25" s="1"/>
  <c r="P23" i="25" s="1"/>
  <c r="I27" i="25"/>
  <c r="J27" i="25" s="1"/>
  <c r="J20" i="25"/>
  <c r="J19" i="25"/>
  <c r="K19" i="25" s="1"/>
  <c r="J17" i="25"/>
  <c r="J18" i="25"/>
  <c r="K18" i="25" s="1"/>
  <c r="J22" i="26"/>
  <c r="K22" i="26" s="1"/>
  <c r="L22" i="26" s="1"/>
  <c r="N22" i="26" s="1"/>
  <c r="O22" i="26" s="1"/>
  <c r="P22" i="26" s="1"/>
  <c r="J34" i="26"/>
  <c r="J44" i="26"/>
  <c r="J21" i="26"/>
  <c r="I36" i="26"/>
  <c r="J36" i="26" s="1"/>
  <c r="K36" i="26" s="1"/>
  <c r="L36" i="26" s="1"/>
  <c r="N36" i="26" s="1"/>
  <c r="O36" i="26" s="1"/>
  <c r="P36" i="26" s="1"/>
  <c r="J30" i="26"/>
  <c r="I32" i="26"/>
  <c r="J32" i="26" s="1"/>
  <c r="K32" i="26" s="1"/>
  <c r="L32" i="26" s="1"/>
  <c r="N32" i="26" s="1"/>
  <c r="O32" i="26" s="1"/>
  <c r="P32" i="26" s="1"/>
  <c r="J25" i="26"/>
  <c r="I23" i="26"/>
  <c r="J23" i="26" s="1"/>
  <c r="J26" i="26"/>
  <c r="K26" i="26" s="1"/>
  <c r="L26" i="26" s="1"/>
  <c r="N26" i="26" s="1"/>
  <c r="O26" i="26" s="1"/>
  <c r="P26" i="26" s="1"/>
  <c r="I25" i="22"/>
  <c r="J25" i="22" s="1"/>
  <c r="K25" i="22" s="1"/>
  <c r="J21" i="22"/>
  <c r="J38" i="22"/>
  <c r="K38" i="22" s="1"/>
  <c r="L38" i="22" s="1"/>
  <c r="N38" i="22" s="1"/>
  <c r="O38" i="22" s="1"/>
  <c r="P38" i="22" s="1"/>
  <c r="K28" i="25"/>
  <c r="L28" i="25" s="1"/>
  <c r="N28" i="25" s="1"/>
  <c r="O28" i="25" s="1"/>
  <c r="P28" i="25" s="1"/>
  <c r="K38" i="25"/>
  <c r="K21" i="25"/>
  <c r="K39" i="25"/>
  <c r="K16" i="25"/>
  <c r="L16" i="25" s="1"/>
  <c r="N16" i="25" s="1"/>
  <c r="J24" i="25"/>
  <c r="K20" i="25"/>
  <c r="K17" i="25"/>
  <c r="L17" i="25" s="1"/>
  <c r="N17" i="25" s="1"/>
  <c r="O17" i="25" s="1"/>
  <c r="P17" i="25" s="1"/>
  <c r="I33" i="25"/>
  <c r="J33" i="25" s="1"/>
  <c r="J29" i="25"/>
  <c r="J25" i="25"/>
  <c r="K20" i="24"/>
  <c r="J15" i="24"/>
  <c r="I18" i="24"/>
  <c r="J18" i="24" s="1"/>
  <c r="I27" i="24"/>
  <c r="J27" i="24" s="1"/>
  <c r="I26" i="24"/>
  <c r="J26" i="24" s="1"/>
  <c r="K34" i="26"/>
  <c r="L34" i="26" s="1"/>
  <c r="N34" i="26" s="1"/>
  <c r="O34" i="26" s="1"/>
  <c r="P34" i="26" s="1"/>
  <c r="K44" i="26"/>
  <c r="K30" i="26"/>
  <c r="L30" i="26" s="1"/>
  <c r="N30" i="26" s="1"/>
  <c r="O30" i="26" s="1"/>
  <c r="P30" i="26" s="1"/>
  <c r="K29" i="26"/>
  <c r="K25" i="26"/>
  <c r="K31" i="26"/>
  <c r="L31" i="26" s="1"/>
  <c r="N31" i="26" s="1"/>
  <c r="O31" i="26" s="1"/>
  <c r="P31" i="26" s="1"/>
  <c r="K27" i="26"/>
  <c r="K21" i="26"/>
  <c r="L21" i="26" s="1"/>
  <c r="N21" i="26" s="1"/>
  <c r="O21" i="26" s="1"/>
  <c r="P21" i="26" s="1"/>
  <c r="J35" i="26"/>
  <c r="J38" i="26"/>
  <c r="J33" i="26"/>
  <c r="J19" i="26"/>
  <c r="I17" i="26"/>
  <c r="J17" i="26" s="1"/>
  <c r="J39" i="26"/>
  <c r="I45" i="26"/>
  <c r="J45" i="26" s="1"/>
  <c r="I24" i="26"/>
  <c r="J24" i="26" s="1"/>
  <c r="I18" i="26"/>
  <c r="J18" i="26" s="1"/>
  <c r="I16" i="26"/>
  <c r="J16" i="26" s="1"/>
  <c r="J29" i="22"/>
  <c r="K29" i="22" s="1"/>
  <c r="I30" i="22"/>
  <c r="J30" i="22" s="1"/>
  <c r="K30" i="22" s="1"/>
  <c r="L30" i="22" s="1"/>
  <c r="N30" i="22" s="1"/>
  <c r="O30" i="22" s="1"/>
  <c r="P30" i="22" s="1"/>
  <c r="J24" i="22"/>
  <c r="K24" i="22" s="1"/>
  <c r="J19" i="22"/>
  <c r="K19" i="22" s="1"/>
  <c r="L19" i="22" s="1"/>
  <c r="N19" i="22" s="1"/>
  <c r="O19" i="22" s="1"/>
  <c r="P19" i="22" s="1"/>
  <c r="I18" i="22"/>
  <c r="J18" i="22" s="1"/>
  <c r="K18" i="22" s="1"/>
  <c r="J16" i="22"/>
  <c r="J32" i="22"/>
  <c r="J27" i="22"/>
  <c r="J26" i="22"/>
  <c r="K21" i="22"/>
  <c r="J20" i="22"/>
  <c r="I17" i="22"/>
  <c r="J17" i="22" s="1"/>
  <c r="I33" i="22"/>
  <c r="J33" i="22" s="1"/>
  <c r="J28" i="22"/>
  <c r="I39" i="22"/>
  <c r="J39" i="22" s="1"/>
  <c r="K23" i="22"/>
  <c r="L23" i="22" s="1"/>
  <c r="N23" i="22" s="1"/>
  <c r="O23" i="22" s="1"/>
  <c r="P23" i="22" s="1"/>
  <c r="H21" i="21"/>
  <c r="J21" i="21" s="1"/>
  <c r="K21" i="21" s="1"/>
  <c r="L21" i="21" s="1"/>
  <c r="J21" i="24" l="1"/>
  <c r="K21" i="24" s="1"/>
  <c r="L21" i="24" s="1"/>
  <c r="N21" i="24" s="1"/>
  <c r="O21" i="24" s="1"/>
  <c r="P21" i="24" s="1"/>
  <c r="K17" i="24"/>
  <c r="L17" i="24" s="1"/>
  <c r="N17" i="24" s="1"/>
  <c r="O17" i="24" s="1"/>
  <c r="P17" i="24" s="1"/>
  <c r="K27" i="25"/>
  <c r="L27" i="25" s="1"/>
  <c r="N27" i="25" s="1"/>
  <c r="O27" i="25" s="1"/>
  <c r="P27" i="25" s="1"/>
  <c r="L25" i="26"/>
  <c r="N25" i="26" s="1"/>
  <c r="O25" i="26" s="1"/>
  <c r="P25" i="26" s="1"/>
  <c r="K23" i="26"/>
  <c r="L23" i="26" s="1"/>
  <c r="N23" i="26" s="1"/>
  <c r="O23" i="26" s="1"/>
  <c r="P23" i="26" s="1"/>
  <c r="K33" i="25"/>
  <c r="L33" i="25" s="1"/>
  <c r="N33" i="25" s="1"/>
  <c r="O33" i="25" s="1"/>
  <c r="P33" i="25" s="1"/>
  <c r="O16" i="25"/>
  <c r="P16" i="25" s="1"/>
  <c r="L19" i="25"/>
  <c r="N19" i="25" s="1"/>
  <c r="O19" i="25" s="1"/>
  <c r="P19" i="25" s="1"/>
  <c r="K24" i="25"/>
  <c r="L24" i="25" s="1"/>
  <c r="L39" i="25"/>
  <c r="N39" i="25" s="1"/>
  <c r="O39" i="25" s="1"/>
  <c r="P39" i="25" s="1"/>
  <c r="L38" i="25"/>
  <c r="N38" i="25" s="1"/>
  <c r="O38" i="25" s="1"/>
  <c r="P38" i="25" s="1"/>
  <c r="K29" i="25"/>
  <c r="L29" i="25" s="1"/>
  <c r="N29" i="25" s="1"/>
  <c r="O29" i="25" s="1"/>
  <c r="P29" i="25" s="1"/>
  <c r="L20" i="25"/>
  <c r="N20" i="25" s="1"/>
  <c r="O20" i="25" s="1"/>
  <c r="P20" i="25" s="1"/>
  <c r="L18" i="25"/>
  <c r="N18" i="25" s="1"/>
  <c r="L32" i="25"/>
  <c r="N32" i="25" s="1"/>
  <c r="O32" i="25" s="1"/>
  <c r="P32" i="25" s="1"/>
  <c r="L21" i="25"/>
  <c r="N21" i="25" s="1"/>
  <c r="O21" i="25" s="1"/>
  <c r="P21" i="25" s="1"/>
  <c r="K25" i="25"/>
  <c r="L25" i="25" s="1"/>
  <c r="N25" i="25" s="1"/>
  <c r="O25" i="25" s="1"/>
  <c r="P25" i="25" s="1"/>
  <c r="K26" i="24"/>
  <c r="L26" i="24" s="1"/>
  <c r="N26" i="24" s="1"/>
  <c r="O26" i="24" s="1"/>
  <c r="P26" i="24" s="1"/>
  <c r="K18" i="24"/>
  <c r="K27" i="24"/>
  <c r="L27" i="24" s="1"/>
  <c r="N27" i="24" s="1"/>
  <c r="O27" i="24" s="1"/>
  <c r="P27" i="24" s="1"/>
  <c r="L20" i="24"/>
  <c r="N20" i="24" s="1"/>
  <c r="O20" i="24" s="1"/>
  <c r="P20" i="24" s="1"/>
  <c r="K15" i="24"/>
  <c r="L19" i="24"/>
  <c r="N19" i="24" s="1"/>
  <c r="O19" i="24" s="1"/>
  <c r="P19" i="24" s="1"/>
  <c r="K24" i="26"/>
  <c r="L24" i="26" s="1"/>
  <c r="N24" i="26" s="1"/>
  <c r="O24" i="26" s="1"/>
  <c r="P24" i="26" s="1"/>
  <c r="K18" i="26"/>
  <c r="K45" i="26"/>
  <c r="K17" i="26"/>
  <c r="L17" i="26" s="1"/>
  <c r="K33" i="26"/>
  <c r="L33" i="26" s="1"/>
  <c r="N33" i="26" s="1"/>
  <c r="O33" i="26" s="1"/>
  <c r="P33" i="26" s="1"/>
  <c r="K35" i="26"/>
  <c r="L35" i="26" s="1"/>
  <c r="N35" i="26" s="1"/>
  <c r="O35" i="26" s="1"/>
  <c r="P35" i="26" s="1"/>
  <c r="K16" i="26"/>
  <c r="L16" i="26" s="1"/>
  <c r="L44" i="26"/>
  <c r="N44" i="26" s="1"/>
  <c r="O44" i="26" s="1"/>
  <c r="P44" i="26" s="1"/>
  <c r="K39" i="26"/>
  <c r="K19" i="26"/>
  <c r="L19" i="26" s="1"/>
  <c r="K38" i="26"/>
  <c r="L38" i="26" s="1"/>
  <c r="N38" i="26" s="1"/>
  <c r="O38" i="26" s="1"/>
  <c r="P38" i="26" s="1"/>
  <c r="L27" i="26"/>
  <c r="N27" i="26" s="1"/>
  <c r="O27" i="26" s="1"/>
  <c r="P27" i="26" s="1"/>
  <c r="L29" i="26"/>
  <c r="N29" i="26" s="1"/>
  <c r="O29" i="26" s="1"/>
  <c r="P29" i="26" s="1"/>
  <c r="K39" i="22"/>
  <c r="L39" i="22" s="1"/>
  <c r="N39" i="22" s="1"/>
  <c r="O39" i="22" s="1"/>
  <c r="P39" i="22" s="1"/>
  <c r="K33" i="22"/>
  <c r="K17" i="22"/>
  <c r="K20" i="22"/>
  <c r="L20" i="22" s="1"/>
  <c r="N20" i="22" s="1"/>
  <c r="O20" i="22" s="1"/>
  <c r="P20" i="22" s="1"/>
  <c r="K32" i="22"/>
  <c r="L32" i="22" s="1"/>
  <c r="N32" i="22" s="1"/>
  <c r="O32" i="22" s="1"/>
  <c r="P32" i="22" s="1"/>
  <c r="L18" i="22"/>
  <c r="N18" i="22" s="1"/>
  <c r="O18" i="22" s="1"/>
  <c r="P18" i="22" s="1"/>
  <c r="L24" i="22"/>
  <c r="N24" i="22" s="1"/>
  <c r="O24" i="22" s="1"/>
  <c r="P24" i="22" s="1"/>
  <c r="L29" i="22"/>
  <c r="N29" i="22" s="1"/>
  <c r="O29" i="22" s="1"/>
  <c r="P29" i="22" s="1"/>
  <c r="L25" i="22"/>
  <c r="N25" i="22" s="1"/>
  <c r="O25" i="22" s="1"/>
  <c r="P25" i="22" s="1"/>
  <c r="K28" i="22"/>
  <c r="L21" i="22"/>
  <c r="N21" i="22" s="1"/>
  <c r="O21" i="22" s="1"/>
  <c r="P21" i="22" s="1"/>
  <c r="K27" i="22"/>
  <c r="L27" i="22" s="1"/>
  <c r="N27" i="22" s="1"/>
  <c r="O27" i="22" s="1"/>
  <c r="P27" i="22" s="1"/>
  <c r="K16" i="22"/>
  <c r="K26" i="22"/>
  <c r="N21" i="21"/>
  <c r="O21" i="21" s="1"/>
  <c r="P21" i="21" s="1"/>
  <c r="O29" i="21"/>
  <c r="N29" i="21"/>
  <c r="G27" i="21"/>
  <c r="F27" i="21"/>
  <c r="C27" i="21"/>
  <c r="D27" i="21" s="1"/>
  <c r="G26" i="21"/>
  <c r="F26" i="21"/>
  <c r="C26" i="21"/>
  <c r="D26" i="21" s="1"/>
  <c r="O24" i="21"/>
  <c r="N24" i="21" s="1"/>
  <c r="O23" i="21"/>
  <c r="N23" i="21" s="1"/>
  <c r="G20" i="21"/>
  <c r="C20" i="21"/>
  <c r="D20" i="21" s="1"/>
  <c r="G19" i="21"/>
  <c r="C19" i="21"/>
  <c r="D19" i="21" s="1"/>
  <c r="G18" i="21"/>
  <c r="C18" i="21"/>
  <c r="D18" i="21" s="1"/>
  <c r="G17" i="21"/>
  <c r="C17" i="21"/>
  <c r="D17" i="21" s="1"/>
  <c r="G15" i="21"/>
  <c r="C15" i="21"/>
  <c r="D15" i="21" s="1"/>
  <c r="H15" i="21" s="1"/>
  <c r="O47" i="20"/>
  <c r="N47" i="20"/>
  <c r="P46" i="20"/>
  <c r="G45" i="20"/>
  <c r="F45" i="20"/>
  <c r="C45" i="20"/>
  <c r="D45" i="20" s="1"/>
  <c r="G44" i="20"/>
  <c r="F44" i="20"/>
  <c r="C44" i="20"/>
  <c r="D44" i="20" s="1"/>
  <c r="O42" i="20"/>
  <c r="N42" i="20" s="1"/>
  <c r="O41" i="20"/>
  <c r="N41" i="20" s="1"/>
  <c r="P40" i="20"/>
  <c r="G39" i="20"/>
  <c r="C39" i="20"/>
  <c r="D39" i="20" s="1"/>
  <c r="G38" i="20"/>
  <c r="C38" i="20"/>
  <c r="D38" i="20" s="1"/>
  <c r="G36" i="20"/>
  <c r="C36" i="20"/>
  <c r="B36" i="20"/>
  <c r="G35" i="20"/>
  <c r="C35" i="20"/>
  <c r="D35" i="20" s="1"/>
  <c r="G34" i="20"/>
  <c r="F34" i="20"/>
  <c r="C34" i="20"/>
  <c r="D34" i="20" s="1"/>
  <c r="G33" i="20"/>
  <c r="C33" i="20"/>
  <c r="D33" i="20" s="1"/>
  <c r="H33" i="20" s="1"/>
  <c r="G32" i="20"/>
  <c r="C32" i="20"/>
  <c r="D32" i="20" s="1"/>
  <c r="G31" i="20"/>
  <c r="C31" i="20"/>
  <c r="D31" i="20" s="1"/>
  <c r="H31" i="20" s="1"/>
  <c r="G30" i="20"/>
  <c r="C30" i="20"/>
  <c r="D30" i="20" s="1"/>
  <c r="G29" i="20"/>
  <c r="C29" i="20"/>
  <c r="D29" i="20" s="1"/>
  <c r="H29" i="20" s="1"/>
  <c r="G27" i="20"/>
  <c r="D27" i="20"/>
  <c r="C27" i="20"/>
  <c r="G26" i="20"/>
  <c r="C26" i="20"/>
  <c r="D26" i="20" s="1"/>
  <c r="G25" i="20"/>
  <c r="C25" i="20"/>
  <c r="D25" i="20" s="1"/>
  <c r="G24" i="20"/>
  <c r="C24" i="20"/>
  <c r="D24" i="20" s="1"/>
  <c r="G23" i="20"/>
  <c r="C23" i="20"/>
  <c r="D23" i="20" s="1"/>
  <c r="G22" i="20"/>
  <c r="C22" i="20"/>
  <c r="D22" i="20" s="1"/>
  <c r="G21" i="20"/>
  <c r="C21" i="20"/>
  <c r="D21" i="20" s="1"/>
  <c r="G19" i="20"/>
  <c r="F19" i="20"/>
  <c r="C19" i="20"/>
  <c r="D19" i="20" s="1"/>
  <c r="G18" i="20"/>
  <c r="F18" i="20"/>
  <c r="C18" i="20"/>
  <c r="D18" i="20" s="1"/>
  <c r="G17" i="20"/>
  <c r="F17" i="20"/>
  <c r="C17" i="20"/>
  <c r="D17" i="20" s="1"/>
  <c r="G16" i="20"/>
  <c r="F16" i="20"/>
  <c r="C16" i="20"/>
  <c r="D16" i="20" s="1"/>
  <c r="O35" i="19"/>
  <c r="N35" i="19"/>
  <c r="G33" i="19"/>
  <c r="F33" i="19"/>
  <c r="C33" i="19"/>
  <c r="D33" i="19" s="1"/>
  <c r="G32" i="19"/>
  <c r="F32" i="19"/>
  <c r="C32" i="19"/>
  <c r="D32" i="19" s="1"/>
  <c r="O30" i="19"/>
  <c r="N30" i="19" s="1"/>
  <c r="O29" i="19"/>
  <c r="N29" i="19" s="1"/>
  <c r="G27" i="19"/>
  <c r="C27" i="19"/>
  <c r="D27" i="19" s="1"/>
  <c r="G26" i="19"/>
  <c r="C26" i="19"/>
  <c r="D26" i="19" s="1"/>
  <c r="G24" i="19"/>
  <c r="C24" i="19"/>
  <c r="B24" i="19"/>
  <c r="G23" i="19"/>
  <c r="C23" i="19"/>
  <c r="D23" i="19" s="1"/>
  <c r="G22" i="19"/>
  <c r="F22" i="19"/>
  <c r="C22" i="19"/>
  <c r="D22" i="19" s="1"/>
  <c r="G21" i="19"/>
  <c r="C21" i="19"/>
  <c r="D21" i="19" s="1"/>
  <c r="G20" i="19"/>
  <c r="C20" i="19"/>
  <c r="D20" i="19" s="1"/>
  <c r="G19" i="19"/>
  <c r="C19" i="19"/>
  <c r="D19" i="19" s="1"/>
  <c r="G18" i="19"/>
  <c r="C18" i="19"/>
  <c r="D18" i="19" s="1"/>
  <c r="G17" i="19"/>
  <c r="C17" i="19"/>
  <c r="D17" i="19" s="1"/>
  <c r="N19" i="26" l="1"/>
  <c r="O19" i="26" s="1"/>
  <c r="P19" i="26" s="1"/>
  <c r="N16" i="26"/>
  <c r="L18" i="26"/>
  <c r="N18" i="26" s="1"/>
  <c r="O18" i="26" s="1"/>
  <c r="P18" i="26" s="1"/>
  <c r="E29" i="20"/>
  <c r="I29" i="20" s="1"/>
  <c r="J29" i="20" s="1"/>
  <c r="E31" i="20"/>
  <c r="E33" i="20"/>
  <c r="I33" i="20" s="1"/>
  <c r="J33" i="20" s="1"/>
  <c r="D24" i="19"/>
  <c r="D36" i="19" s="1"/>
  <c r="O18" i="25"/>
  <c r="P18" i="25" s="1"/>
  <c r="P31" i="25"/>
  <c r="P37" i="25"/>
  <c r="N24" i="25"/>
  <c r="O24" i="25" s="1"/>
  <c r="P24" i="25" s="1"/>
  <c r="P25" i="24"/>
  <c r="L18" i="24"/>
  <c r="N18" i="24" s="1"/>
  <c r="O18" i="24" s="1"/>
  <c r="P18" i="24" s="1"/>
  <c r="L15" i="24"/>
  <c r="N15" i="24" s="1"/>
  <c r="P20" i="26"/>
  <c r="L39" i="26"/>
  <c r="N39" i="26" s="1"/>
  <c r="O16" i="26"/>
  <c r="P16" i="26" s="1"/>
  <c r="L45" i="26"/>
  <c r="N45" i="26" s="1"/>
  <c r="O45" i="26" s="1"/>
  <c r="P45" i="26" s="1"/>
  <c r="N17" i="26"/>
  <c r="O17" i="26" s="1"/>
  <c r="P17" i="26" s="1"/>
  <c r="L16" i="22"/>
  <c r="N16" i="22" s="1"/>
  <c r="O16" i="22" s="1"/>
  <c r="P16" i="22" s="1"/>
  <c r="L28" i="22"/>
  <c r="N28" i="22" s="1"/>
  <c r="O28" i="22" s="1"/>
  <c r="P28" i="22" s="1"/>
  <c r="P37" i="22"/>
  <c r="L26" i="22"/>
  <c r="N26" i="22" s="1"/>
  <c r="O26" i="22" s="1"/>
  <c r="P26" i="22" s="1"/>
  <c r="L33" i="22"/>
  <c r="N33" i="22" s="1"/>
  <c r="L17" i="22"/>
  <c r="N17" i="22" s="1"/>
  <c r="O17" i="22" s="1"/>
  <c r="P17" i="22" s="1"/>
  <c r="E15" i="21"/>
  <c r="I15" i="21" s="1"/>
  <c r="J15" i="21" s="1"/>
  <c r="H17" i="21"/>
  <c r="E17" i="21"/>
  <c r="H20" i="21"/>
  <c r="E20" i="21"/>
  <c r="H27" i="21"/>
  <c r="E27" i="21"/>
  <c r="H18" i="21"/>
  <c r="E18" i="21"/>
  <c r="H26" i="21"/>
  <c r="E19" i="21"/>
  <c r="I19" i="21" s="1"/>
  <c r="H19" i="21"/>
  <c r="E26" i="21"/>
  <c r="E18" i="20"/>
  <c r="I18" i="20" s="1"/>
  <c r="H18" i="20"/>
  <c r="H24" i="20"/>
  <c r="E24" i="20"/>
  <c r="I24" i="20" s="1"/>
  <c r="H16" i="20"/>
  <c r="E17" i="20"/>
  <c r="I17" i="20" s="1"/>
  <c r="E19" i="20"/>
  <c r="I19" i="20" s="1"/>
  <c r="E21" i="20"/>
  <c r="I21" i="20" s="1"/>
  <c r="H21" i="20"/>
  <c r="E22" i="20"/>
  <c r="I22" i="20" s="1"/>
  <c r="H22" i="20"/>
  <c r="E23" i="20"/>
  <c r="I23" i="20" s="1"/>
  <c r="H23" i="20"/>
  <c r="H26" i="20"/>
  <c r="E26" i="20"/>
  <c r="I26" i="20" s="1"/>
  <c r="H34" i="20"/>
  <c r="E44" i="20"/>
  <c r="I44" i="20" s="1"/>
  <c r="H44" i="20"/>
  <c r="E16" i="20"/>
  <c r="I16" i="20" s="1"/>
  <c r="H17" i="20"/>
  <c r="H19" i="20"/>
  <c r="H25" i="20"/>
  <c r="E25" i="20"/>
  <c r="I25" i="20" s="1"/>
  <c r="H27" i="20"/>
  <c r="E27" i="20"/>
  <c r="I27" i="20" s="1"/>
  <c r="E30" i="20"/>
  <c r="H30" i="20"/>
  <c r="I31" i="20"/>
  <c r="J31" i="20" s="1"/>
  <c r="E32" i="20"/>
  <c r="H32" i="20"/>
  <c r="E34" i="20"/>
  <c r="H35" i="20"/>
  <c r="E35" i="20"/>
  <c r="I35" i="20" s="1"/>
  <c r="D36" i="20"/>
  <c r="D48" i="20" s="1"/>
  <c r="H38" i="20"/>
  <c r="E38" i="20"/>
  <c r="I38" i="20" s="1"/>
  <c r="H39" i="20"/>
  <c r="E39" i="20"/>
  <c r="I39" i="20" s="1"/>
  <c r="E45" i="20"/>
  <c r="H45" i="20"/>
  <c r="H17" i="19"/>
  <c r="E17" i="19"/>
  <c r="I17" i="19" s="1"/>
  <c r="H18" i="19"/>
  <c r="E18" i="19"/>
  <c r="H19" i="19"/>
  <c r="E19" i="19"/>
  <c r="I19" i="19" s="1"/>
  <c r="H20" i="19"/>
  <c r="E20" i="19"/>
  <c r="H21" i="19"/>
  <c r="E21" i="19"/>
  <c r="I21" i="19" s="1"/>
  <c r="H26" i="19"/>
  <c r="E26" i="19"/>
  <c r="H33" i="19"/>
  <c r="E33" i="19"/>
  <c r="H22" i="19"/>
  <c r="E23" i="19"/>
  <c r="I23" i="19" s="1"/>
  <c r="H23" i="19"/>
  <c r="H32" i="19"/>
  <c r="E22" i="19"/>
  <c r="E27" i="19"/>
  <c r="H27" i="19"/>
  <c r="E32" i="19"/>
  <c r="P45" i="2"/>
  <c r="P39" i="2"/>
  <c r="C17" i="2"/>
  <c r="D17" i="2" s="1"/>
  <c r="H17" i="2" s="1"/>
  <c r="F17" i="2"/>
  <c r="G17" i="2"/>
  <c r="O41" i="2"/>
  <c r="N41" i="2" s="1"/>
  <c r="O40" i="2"/>
  <c r="N40" i="2" s="1"/>
  <c r="P15" i="22" l="1"/>
  <c r="J22" i="20"/>
  <c r="K22" i="20" s="1"/>
  <c r="L22" i="20" s="1"/>
  <c r="N22" i="20" s="1"/>
  <c r="O22" i="20" s="1"/>
  <c r="P22" i="20" s="1"/>
  <c r="J24" i="20"/>
  <c r="J35" i="20"/>
  <c r="J19" i="20"/>
  <c r="J17" i="20"/>
  <c r="H24" i="19"/>
  <c r="E24" i="19"/>
  <c r="I24" i="19" s="1"/>
  <c r="P15" i="25"/>
  <c r="P22" i="25"/>
  <c r="N42" i="25"/>
  <c r="N30" i="24"/>
  <c r="O15" i="24"/>
  <c r="P15" i="24" s="1"/>
  <c r="P16" i="24"/>
  <c r="P43" i="26"/>
  <c r="O39" i="26"/>
  <c r="P39" i="26" s="1"/>
  <c r="N48" i="26"/>
  <c r="P15" i="26"/>
  <c r="O33" i="22"/>
  <c r="P33" i="22" s="1"/>
  <c r="N42" i="22"/>
  <c r="D30" i="21"/>
  <c r="J19" i="21"/>
  <c r="I20" i="21"/>
  <c r="J20" i="21" s="1"/>
  <c r="K20" i="21" s="1"/>
  <c r="K19" i="21"/>
  <c r="L19" i="21" s="1"/>
  <c r="N19" i="21" s="1"/>
  <c r="O19" i="21" s="1"/>
  <c r="P19" i="21" s="1"/>
  <c r="K15" i="21"/>
  <c r="I26" i="21"/>
  <c r="J26" i="21" s="1"/>
  <c r="I18" i="21"/>
  <c r="J18" i="21" s="1"/>
  <c r="I27" i="21"/>
  <c r="J27" i="21" s="1"/>
  <c r="I17" i="21"/>
  <c r="J17" i="21" s="1"/>
  <c r="K35" i="20"/>
  <c r="L35" i="20" s="1"/>
  <c r="N35" i="20" s="1"/>
  <c r="O35" i="20" s="1"/>
  <c r="P35" i="20" s="1"/>
  <c r="K31" i="20"/>
  <c r="J23" i="20"/>
  <c r="J21" i="20"/>
  <c r="K24" i="20"/>
  <c r="L24" i="20" s="1"/>
  <c r="K33" i="20"/>
  <c r="K29" i="20"/>
  <c r="K19" i="20"/>
  <c r="L19" i="20" s="1"/>
  <c r="N19" i="20" s="1"/>
  <c r="O19" i="20" s="1"/>
  <c r="P19" i="20" s="1"/>
  <c r="K17" i="20"/>
  <c r="J39" i="20"/>
  <c r="J38" i="20"/>
  <c r="J27" i="20"/>
  <c r="J25" i="20"/>
  <c r="I34" i="20"/>
  <c r="J34" i="20" s="1"/>
  <c r="I32" i="20"/>
  <c r="J32" i="20" s="1"/>
  <c r="I30" i="20"/>
  <c r="J30" i="20" s="1"/>
  <c r="J26" i="20"/>
  <c r="J16" i="20"/>
  <c r="I45" i="20"/>
  <c r="J45" i="20" s="1"/>
  <c r="H36" i="20"/>
  <c r="E36" i="20"/>
  <c r="I36" i="20" s="1"/>
  <c r="J36" i="20" s="1"/>
  <c r="J44" i="20"/>
  <c r="J18" i="20"/>
  <c r="I22" i="19"/>
  <c r="J22" i="19" s="1"/>
  <c r="I26" i="19"/>
  <c r="J26" i="19" s="1"/>
  <c r="K26" i="19" s="1"/>
  <c r="L26" i="19" s="1"/>
  <c r="J21" i="19"/>
  <c r="K21" i="19" s="1"/>
  <c r="L21" i="19" s="1"/>
  <c r="N21" i="19" s="1"/>
  <c r="O21" i="19" s="1"/>
  <c r="I20" i="19"/>
  <c r="J20" i="19" s="1"/>
  <c r="K20" i="19" s="1"/>
  <c r="L20" i="19" s="1"/>
  <c r="N20" i="19" s="1"/>
  <c r="O20" i="19" s="1"/>
  <c r="J19" i="19"/>
  <c r="I18" i="19"/>
  <c r="J18" i="19" s="1"/>
  <c r="K18" i="19" s="1"/>
  <c r="L18" i="19" s="1"/>
  <c r="J17" i="19"/>
  <c r="K17" i="19" s="1"/>
  <c r="L17" i="19" s="1"/>
  <c r="N17" i="19" s="1"/>
  <c r="O17" i="19" s="1"/>
  <c r="J23" i="19"/>
  <c r="K19" i="19"/>
  <c r="L19" i="19" s="1"/>
  <c r="I33" i="19"/>
  <c r="J33" i="19" s="1"/>
  <c r="I32" i="19"/>
  <c r="J32" i="19" s="1"/>
  <c r="I27" i="19"/>
  <c r="J27" i="19" s="1"/>
  <c r="E17" i="2"/>
  <c r="I17" i="2" s="1"/>
  <c r="J24" i="19" l="1"/>
  <c r="K24" i="19" s="1"/>
  <c r="K22" i="19"/>
  <c r="L22" i="19" s="1"/>
  <c r="N22" i="19" s="1"/>
  <c r="O22" i="19" s="1"/>
  <c r="P42" i="25"/>
  <c r="Q42" i="25" s="1"/>
  <c r="P14" i="24"/>
  <c r="P37" i="26"/>
  <c r="P31" i="22"/>
  <c r="K27" i="21"/>
  <c r="K26" i="21"/>
  <c r="K18" i="21"/>
  <c r="L18" i="21" s="1"/>
  <c r="N18" i="21" s="1"/>
  <c r="O18" i="21" s="1"/>
  <c r="P18" i="21" s="1"/>
  <c r="K17" i="21"/>
  <c r="L17" i="21" s="1"/>
  <c r="L15" i="21"/>
  <c r="N15" i="21" s="1"/>
  <c r="O15" i="21" s="1"/>
  <c r="P15" i="21" s="1"/>
  <c r="L20" i="21"/>
  <c r="N20" i="21" s="1"/>
  <c r="O20" i="21" s="1"/>
  <c r="P20" i="21" s="1"/>
  <c r="K30" i="20"/>
  <c r="K34" i="20"/>
  <c r="L34" i="20" s="1"/>
  <c r="K36" i="20"/>
  <c r="K45" i="20"/>
  <c r="K32" i="20"/>
  <c r="K18" i="20"/>
  <c r="L18" i="20" s="1"/>
  <c r="N18" i="20" s="1"/>
  <c r="O18" i="20" s="1"/>
  <c r="P18" i="20" s="1"/>
  <c r="K26" i="20"/>
  <c r="L26" i="20" s="1"/>
  <c r="K25" i="20"/>
  <c r="K38" i="20"/>
  <c r="L38" i="20" s="1"/>
  <c r="N38" i="20" s="1"/>
  <c r="O38" i="20" s="1"/>
  <c r="P38" i="20" s="1"/>
  <c r="L17" i="20"/>
  <c r="N17" i="20" s="1"/>
  <c r="O17" i="20" s="1"/>
  <c r="P17" i="20" s="1"/>
  <c r="K21" i="20"/>
  <c r="K44" i="20"/>
  <c r="L44" i="20" s="1"/>
  <c r="N44" i="20" s="1"/>
  <c r="O44" i="20" s="1"/>
  <c r="P44" i="20" s="1"/>
  <c r="K16" i="20"/>
  <c r="K27" i="20"/>
  <c r="K39" i="20"/>
  <c r="L39" i="20" s="1"/>
  <c r="N39" i="20" s="1"/>
  <c r="O39" i="20" s="1"/>
  <c r="P39" i="20" s="1"/>
  <c r="L29" i="20"/>
  <c r="N29" i="20" s="1"/>
  <c r="O29" i="20" s="1"/>
  <c r="P29" i="20" s="1"/>
  <c r="L33" i="20"/>
  <c r="N33" i="20" s="1"/>
  <c r="O33" i="20" s="1"/>
  <c r="P33" i="20" s="1"/>
  <c r="N24" i="20"/>
  <c r="O24" i="20" s="1"/>
  <c r="P24" i="20" s="1"/>
  <c r="K23" i="20"/>
  <c r="L31" i="20"/>
  <c r="N31" i="20" s="1"/>
  <c r="O31" i="20" s="1"/>
  <c r="P31" i="20" s="1"/>
  <c r="K27" i="19"/>
  <c r="K32" i="19"/>
  <c r="K33" i="19"/>
  <c r="L33" i="19" s="1"/>
  <c r="N33" i="19" s="1"/>
  <c r="O33" i="19" s="1"/>
  <c r="N18" i="19"/>
  <c r="O18" i="19" s="1"/>
  <c r="N26" i="19"/>
  <c r="O26" i="19" s="1"/>
  <c r="N19" i="19"/>
  <c r="O19" i="19" s="1"/>
  <c r="K23" i="19"/>
  <c r="L23" i="19" s="1"/>
  <c r="N23" i="19" s="1"/>
  <c r="O23" i="19" s="1"/>
  <c r="J17" i="2"/>
  <c r="P14" i="21" l="1"/>
  <c r="P37" i="20"/>
  <c r="N34" i="20"/>
  <c r="O34" i="20" s="1"/>
  <c r="P34" i="20" s="1"/>
  <c r="S42" i="25"/>
  <c r="O42" i="25"/>
  <c r="P30" i="24"/>
  <c r="P28" i="26"/>
  <c r="P22" i="22"/>
  <c r="P42" i="22" s="1"/>
  <c r="Q42" i="22" s="1"/>
  <c r="S42" i="22" s="1"/>
  <c r="N17" i="21"/>
  <c r="O17" i="21" s="1"/>
  <c r="P17" i="21" s="1"/>
  <c r="L27" i="21"/>
  <c r="N27" i="21" s="1"/>
  <c r="O27" i="21" s="1"/>
  <c r="P27" i="21" s="1"/>
  <c r="L26" i="21"/>
  <c r="N26" i="21" s="1"/>
  <c r="O26" i="21" s="1"/>
  <c r="P26" i="21" s="1"/>
  <c r="L27" i="20"/>
  <c r="N27" i="20" s="1"/>
  <c r="O27" i="20" s="1"/>
  <c r="P27" i="20" s="1"/>
  <c r="L25" i="20"/>
  <c r="N25" i="20" s="1"/>
  <c r="O25" i="20" s="1"/>
  <c r="P25" i="20" s="1"/>
  <c r="L45" i="20"/>
  <c r="N45" i="20" s="1"/>
  <c r="O45" i="20" s="1"/>
  <c r="P45" i="20" s="1"/>
  <c r="P43" i="20" s="1"/>
  <c r="L23" i="20"/>
  <c r="N23" i="20" s="1"/>
  <c r="O23" i="20" s="1"/>
  <c r="P23" i="20" s="1"/>
  <c r="L16" i="20"/>
  <c r="N16" i="20" s="1"/>
  <c r="L21" i="20"/>
  <c r="N21" i="20" s="1"/>
  <c r="O21" i="20" s="1"/>
  <c r="P21" i="20" s="1"/>
  <c r="N26" i="20"/>
  <c r="O26" i="20" s="1"/>
  <c r="P26" i="20" s="1"/>
  <c r="L32" i="20"/>
  <c r="N32" i="20" s="1"/>
  <c r="O32" i="20" s="1"/>
  <c r="P32" i="20" s="1"/>
  <c r="L36" i="20"/>
  <c r="N36" i="20" s="1"/>
  <c r="O36" i="20" s="1"/>
  <c r="P36" i="20" s="1"/>
  <c r="L30" i="20"/>
  <c r="N30" i="20" s="1"/>
  <c r="O30" i="20" s="1"/>
  <c r="P30" i="20" s="1"/>
  <c r="L27" i="19"/>
  <c r="N27" i="19" s="1"/>
  <c r="O27" i="19" s="1"/>
  <c r="L24" i="19"/>
  <c r="N24" i="19" s="1"/>
  <c r="O24" i="19" s="1"/>
  <c r="L32" i="19"/>
  <c r="N32" i="19" s="1"/>
  <c r="O32" i="19" s="1"/>
  <c r="K17" i="2"/>
  <c r="L17" i="2" s="1"/>
  <c r="P25" i="21" l="1"/>
  <c r="P16" i="21"/>
  <c r="P28" i="20"/>
  <c r="P20" i="20"/>
  <c r="S41" i="25"/>
  <c r="S40" i="25"/>
  <c r="S17" i="25"/>
  <c r="S26" i="25"/>
  <c r="S30" i="25"/>
  <c r="S23" i="25"/>
  <c r="S27" i="25"/>
  <c r="S28" i="25"/>
  <c r="S21" i="25"/>
  <c r="S33" i="25"/>
  <c r="S38" i="25"/>
  <c r="S19" i="25"/>
  <c r="S25" i="25"/>
  <c r="S29" i="25"/>
  <c r="S32" i="25"/>
  <c r="S20" i="25"/>
  <c r="S39" i="25"/>
  <c r="S16" i="25"/>
  <c r="S18" i="25"/>
  <c r="S24" i="25"/>
  <c r="S31" i="25"/>
  <c r="S37" i="25"/>
  <c r="S22" i="25"/>
  <c r="S15" i="25"/>
  <c r="Q30" i="24"/>
  <c r="S30" i="24" s="1"/>
  <c r="O30" i="24"/>
  <c r="P48" i="26"/>
  <c r="N30" i="21"/>
  <c r="N48" i="20"/>
  <c r="O16" i="20"/>
  <c r="P16" i="20" s="1"/>
  <c r="P15" i="20" s="1"/>
  <c r="N36" i="19"/>
  <c r="O36" i="19"/>
  <c r="N17" i="2"/>
  <c r="O17" i="2" s="1"/>
  <c r="P17" i="2" s="1"/>
  <c r="P30" i="21" l="1"/>
  <c r="Q30" i="21" s="1"/>
  <c r="S30" i="21" s="1"/>
  <c r="S16" i="21" s="1"/>
  <c r="S15" i="21"/>
  <c r="P48" i="20"/>
  <c r="Q48" i="20" s="1"/>
  <c r="S48" i="20" s="1"/>
  <c r="S46" i="20" s="1"/>
  <c r="S29" i="24"/>
  <c r="S24" i="24"/>
  <c r="S23" i="24"/>
  <c r="S28" i="24"/>
  <c r="S22" i="24"/>
  <c r="S17" i="24"/>
  <c r="S21" i="24"/>
  <c r="S27" i="24"/>
  <c r="S20" i="24"/>
  <c r="S26" i="24"/>
  <c r="S19" i="24"/>
  <c r="S18" i="24"/>
  <c r="S25" i="24"/>
  <c r="S16" i="24"/>
  <c r="S15" i="24"/>
  <c r="S14" i="24"/>
  <c r="Q48" i="26"/>
  <c r="S48" i="26" s="1"/>
  <c r="O48" i="26"/>
  <c r="O42" i="22"/>
  <c r="F44" i="2"/>
  <c r="F43" i="2"/>
  <c r="G44" i="2"/>
  <c r="G43" i="2"/>
  <c r="E43" i="6"/>
  <c r="E39" i="6"/>
  <c r="E38" i="6"/>
  <c r="E37" i="6"/>
  <c r="E36" i="6"/>
  <c r="E35" i="6"/>
  <c r="E42" i="6"/>
  <c r="C44" i="2"/>
  <c r="D44" i="2" s="1"/>
  <c r="H44" i="2" s="1"/>
  <c r="C43" i="2"/>
  <c r="D43" i="2" s="1"/>
  <c r="H43" i="2" s="1"/>
  <c r="G35" i="2"/>
  <c r="F41" i="8"/>
  <c r="G41" i="8" s="1"/>
  <c r="F42" i="8"/>
  <c r="G42" i="8" s="1"/>
  <c r="F43" i="8"/>
  <c r="G43" i="8" s="1"/>
  <c r="G39" i="8"/>
  <c r="F39" i="8"/>
  <c r="F48" i="8"/>
  <c r="G48" i="8" s="1"/>
  <c r="F47" i="8"/>
  <c r="G47" i="8" s="1"/>
  <c r="F46" i="8"/>
  <c r="G46" i="8" s="1"/>
  <c r="F45" i="8"/>
  <c r="G45" i="8" s="1"/>
  <c r="F40" i="8"/>
  <c r="G40" i="8" s="1"/>
  <c r="F38" i="8"/>
  <c r="G38" i="8" s="1"/>
  <c r="F37" i="8"/>
  <c r="G37" i="8" s="1"/>
  <c r="F36" i="8"/>
  <c r="G36" i="8" s="1"/>
  <c r="C35" i="2"/>
  <c r="F34" i="8"/>
  <c r="G34" i="8" s="1"/>
  <c r="F33" i="8"/>
  <c r="G33" i="8" s="1"/>
  <c r="F32" i="8"/>
  <c r="G32" i="8" s="1"/>
  <c r="F31" i="8"/>
  <c r="G31" i="8" s="1"/>
  <c r="F29" i="8"/>
  <c r="G29" i="8" s="1"/>
  <c r="F28" i="8"/>
  <c r="G28" i="8" s="1"/>
  <c r="F27" i="8"/>
  <c r="G27" i="8" s="1"/>
  <c r="F26" i="8"/>
  <c r="G26" i="8" s="1"/>
  <c r="C34" i="2"/>
  <c r="D34" i="2" s="1"/>
  <c r="H34" i="2" s="1"/>
  <c r="C33" i="2"/>
  <c r="D33" i="2" s="1"/>
  <c r="H33" i="2" s="1"/>
  <c r="C30" i="2"/>
  <c r="D30" i="2" s="1"/>
  <c r="C29" i="2"/>
  <c r="D29" i="2" s="1"/>
  <c r="H29" i="2" s="1"/>
  <c r="C28" i="2"/>
  <c r="D28" i="2" s="1"/>
  <c r="H28" i="2" s="1"/>
  <c r="C31" i="2"/>
  <c r="D31" i="2" s="1"/>
  <c r="H31" i="2" s="1"/>
  <c r="C38" i="2"/>
  <c r="C37" i="2"/>
  <c r="D38" i="2"/>
  <c r="C32" i="2"/>
  <c r="D32" i="2" s="1"/>
  <c r="H32" i="2" s="1"/>
  <c r="E32" i="6"/>
  <c r="E31" i="6"/>
  <c r="F19" i="8"/>
  <c r="F24" i="8"/>
  <c r="G24" i="8" s="1"/>
  <c r="G19" i="8"/>
  <c r="F16" i="8"/>
  <c r="G16" i="8" s="1"/>
  <c r="F23" i="8"/>
  <c r="G23" i="8" s="1"/>
  <c r="F22" i="8"/>
  <c r="G22" i="8" s="1"/>
  <c r="F21" i="8"/>
  <c r="G21" i="8" s="1"/>
  <c r="F18" i="8"/>
  <c r="G18" i="8" s="1"/>
  <c r="F17" i="8"/>
  <c r="G17" i="8" s="1"/>
  <c r="F15" i="8"/>
  <c r="G15" i="8" s="1"/>
  <c r="F14" i="8"/>
  <c r="G14" i="8" s="1"/>
  <c r="S37" i="20" l="1"/>
  <c r="S17" i="21"/>
  <c r="S22" i="21"/>
  <c r="O30" i="21"/>
  <c r="S25" i="21"/>
  <c r="S27" i="21"/>
  <c r="S19" i="21"/>
  <c r="S24" i="21"/>
  <c r="S23" i="21"/>
  <c r="S14" i="21"/>
  <c r="S26" i="21"/>
  <c r="S20" i="21"/>
  <c r="S18" i="21"/>
  <c r="S21" i="21"/>
  <c r="S29" i="21"/>
  <c r="S28" i="21"/>
  <c r="O48" i="20"/>
  <c r="S43" i="20"/>
  <c r="H38" i="2"/>
  <c r="E30" i="2"/>
  <c r="H30" i="2"/>
  <c r="S47" i="26"/>
  <c r="S46" i="26"/>
  <c r="S22" i="26"/>
  <c r="S31" i="26"/>
  <c r="S30" i="26"/>
  <c r="S34" i="26"/>
  <c r="S26" i="26"/>
  <c r="S21" i="26"/>
  <c r="S36" i="26"/>
  <c r="S32" i="26"/>
  <c r="S23" i="26"/>
  <c r="S25" i="26"/>
  <c r="S18" i="26"/>
  <c r="S29" i="26"/>
  <c r="S35" i="26"/>
  <c r="S24" i="26"/>
  <c r="S38" i="26"/>
  <c r="S19" i="26"/>
  <c r="S33" i="26"/>
  <c r="S27" i="26"/>
  <c r="S44" i="26"/>
  <c r="S45" i="26"/>
  <c r="S20" i="26"/>
  <c r="S16" i="26"/>
  <c r="S17" i="26"/>
  <c r="S43" i="26"/>
  <c r="S15" i="26"/>
  <c r="S39" i="26"/>
  <c r="S37" i="26"/>
  <c r="S28" i="26"/>
  <c r="S41" i="22"/>
  <c r="S40" i="22"/>
  <c r="S19" i="22"/>
  <c r="S23" i="22"/>
  <c r="S38" i="22"/>
  <c r="S30" i="22"/>
  <c r="S29" i="22"/>
  <c r="S32" i="22"/>
  <c r="S20" i="22"/>
  <c r="S39" i="22"/>
  <c r="S16" i="22"/>
  <c r="S27" i="22"/>
  <c r="S25" i="22"/>
  <c r="S24" i="22"/>
  <c r="S18" i="22"/>
  <c r="S21" i="22"/>
  <c r="S28" i="22"/>
  <c r="S37" i="22"/>
  <c r="S26" i="22"/>
  <c r="S15" i="22"/>
  <c r="S17" i="22"/>
  <c r="S33" i="22"/>
  <c r="S31" i="22"/>
  <c r="S22" i="22"/>
  <c r="S18" i="20"/>
  <c r="S44" i="20"/>
  <c r="S38" i="20"/>
  <c r="S35" i="20"/>
  <c r="S33" i="20"/>
  <c r="S31" i="20"/>
  <c r="S29" i="20"/>
  <c r="S27" i="20"/>
  <c r="S20" i="20"/>
  <c r="S24" i="20"/>
  <c r="S22" i="20"/>
  <c r="S19" i="20"/>
  <c r="S17" i="20"/>
  <c r="S15" i="20"/>
  <c r="S47" i="20"/>
  <c r="S45" i="20"/>
  <c r="S39" i="20"/>
  <c r="S36" i="20"/>
  <c r="S34" i="20"/>
  <c r="S32" i="20"/>
  <c r="S30" i="20"/>
  <c r="S28" i="20"/>
  <c r="S26" i="20"/>
  <c r="S25" i="20"/>
  <c r="S23" i="20"/>
  <c r="S21" i="20"/>
  <c r="S16" i="20"/>
  <c r="E34" i="2"/>
  <c r="E43" i="2"/>
  <c r="I43" i="2" s="1"/>
  <c r="E44" i="2"/>
  <c r="I44" i="2" s="1"/>
  <c r="E33" i="6"/>
  <c r="F33" i="2" s="1"/>
  <c r="G49" i="8"/>
  <c r="E28" i="2"/>
  <c r="E29" i="2"/>
  <c r="G25" i="8"/>
  <c r="G31" i="2" s="1"/>
  <c r="G35" i="8"/>
  <c r="E38" i="2"/>
  <c r="D37" i="2"/>
  <c r="E33" i="2"/>
  <c r="E31" i="2"/>
  <c r="E32" i="2"/>
  <c r="E37" i="2" l="1"/>
  <c r="H37" i="2"/>
  <c r="J43" i="2"/>
  <c r="J44" i="2"/>
  <c r="G33" i="2"/>
  <c r="I33" i="2" s="1"/>
  <c r="J33" i="2" s="1"/>
  <c r="K33" i="2" s="1"/>
  <c r="L33" i="2" s="1"/>
  <c r="N33" i="2" s="1"/>
  <c r="O33" i="2" s="1"/>
  <c r="P33" i="2" s="1"/>
  <c r="G38" i="2"/>
  <c r="I38" i="2" s="1"/>
  <c r="G37" i="2"/>
  <c r="G30" i="2"/>
  <c r="I30" i="2" s="1"/>
  <c r="G34" i="2"/>
  <c r="I34" i="2" s="1"/>
  <c r="G29" i="2"/>
  <c r="I29" i="2" s="1"/>
  <c r="J29" i="2" s="1"/>
  <c r="G28" i="2"/>
  <c r="I28" i="2" s="1"/>
  <c r="J28" i="2" s="1"/>
  <c r="K28" i="2" s="1"/>
  <c r="L28" i="2" s="1"/>
  <c r="I31" i="2"/>
  <c r="J31" i="2" s="1"/>
  <c r="G32" i="2"/>
  <c r="I32" i="2" s="1"/>
  <c r="J32" i="2" s="1"/>
  <c r="I37" i="2" l="1"/>
  <c r="J37" i="2" s="1"/>
  <c r="J38" i="2"/>
  <c r="J34" i="2"/>
  <c r="K43" i="2"/>
  <c r="L43" i="2" s="1"/>
  <c r="K44" i="2"/>
  <c r="L44" i="2" s="1"/>
  <c r="J30" i="2"/>
  <c r="K30" i="2" s="1"/>
  <c r="K29" i="2"/>
  <c r="L29" i="2" s="1"/>
  <c r="N28" i="2"/>
  <c r="O28" i="2" s="1"/>
  <c r="P28" i="2" s="1"/>
  <c r="K31" i="2"/>
  <c r="L31" i="2" s="1"/>
  <c r="N31" i="2" s="1"/>
  <c r="O31" i="2" s="1"/>
  <c r="P31" i="2" s="1"/>
  <c r="K32" i="2"/>
  <c r="L32" i="2" s="1"/>
  <c r="K37" i="2" l="1"/>
  <c r="L37" i="2" s="1"/>
  <c r="N37" i="2" s="1"/>
  <c r="O37" i="2" s="1"/>
  <c r="P37" i="2" s="1"/>
  <c r="K38" i="2"/>
  <c r="L38" i="2" s="1"/>
  <c r="N44" i="2"/>
  <c r="O44" i="2" s="1"/>
  <c r="P44" i="2" s="1"/>
  <c r="N43" i="2"/>
  <c r="O43" i="2" s="1"/>
  <c r="P43" i="2" s="1"/>
  <c r="K34" i="2"/>
  <c r="L34" i="2" s="1"/>
  <c r="N29" i="2"/>
  <c r="O29" i="2" s="1"/>
  <c r="P29" i="2" s="1"/>
  <c r="L30" i="2"/>
  <c r="N30" i="2" s="1"/>
  <c r="O30" i="2" s="1"/>
  <c r="P30" i="2" s="1"/>
  <c r="N32" i="2"/>
  <c r="O32" i="2" s="1"/>
  <c r="P32" i="2" s="1"/>
  <c r="N38" i="2" l="1"/>
  <c r="O38" i="2" s="1"/>
  <c r="P38" i="2" s="1"/>
  <c r="P36" i="2" s="1"/>
  <c r="P42" i="2"/>
  <c r="N34" i="2"/>
  <c r="O34" i="2" s="1"/>
  <c r="P34" i="2" s="1"/>
  <c r="C22" i="2" l="1"/>
  <c r="D22" i="2" s="1"/>
  <c r="C21" i="2"/>
  <c r="D21" i="2" s="1"/>
  <c r="H21" i="2" s="1"/>
  <c r="C20" i="2"/>
  <c r="D20" i="2" s="1"/>
  <c r="C26" i="2"/>
  <c r="D26" i="2" s="1"/>
  <c r="H26" i="2" s="1"/>
  <c r="C25" i="2"/>
  <c r="D25" i="2" s="1"/>
  <c r="H25" i="2" s="1"/>
  <c r="C24" i="2"/>
  <c r="D24" i="2" s="1"/>
  <c r="H24" i="2" s="1"/>
  <c r="C23" i="2"/>
  <c r="D23" i="2" s="1"/>
  <c r="H23" i="2" s="1"/>
  <c r="C18" i="2"/>
  <c r="E20" i="2" l="1"/>
  <c r="H20" i="2"/>
  <c r="E22" i="2"/>
  <c r="H22" i="2"/>
  <c r="E23" i="2"/>
  <c r="E25" i="2"/>
  <c r="E24" i="2"/>
  <c r="E26" i="2"/>
  <c r="E21" i="2"/>
  <c r="F9" i="8"/>
  <c r="F4" i="8"/>
  <c r="G4" i="8" s="1"/>
  <c r="E27" i="6"/>
  <c r="E11" i="6"/>
  <c r="E12" i="6"/>
  <c r="E28" i="6" l="1"/>
  <c r="D18" i="2"/>
  <c r="H18" i="2" s="1"/>
  <c r="E23" i="6"/>
  <c r="E24" i="6"/>
  <c r="E22" i="6"/>
  <c r="E10" i="6"/>
  <c r="E9" i="6"/>
  <c r="E8" i="6"/>
  <c r="E7" i="6"/>
  <c r="E6" i="6"/>
  <c r="E13" i="6" l="1"/>
  <c r="E18" i="2"/>
  <c r="E29" i="6"/>
  <c r="F18" i="2" s="1"/>
  <c r="E25" i="6"/>
  <c r="E15" i="6"/>
  <c r="E19" i="6"/>
  <c r="E18" i="6"/>
  <c r="E17" i="6"/>
  <c r="E16" i="6"/>
  <c r="F5" i="8"/>
  <c r="G5" i="8" s="1"/>
  <c r="F6" i="8"/>
  <c r="G6" i="8" s="1"/>
  <c r="F7" i="8"/>
  <c r="G7" i="8" s="1"/>
  <c r="G9" i="8"/>
  <c r="F10" i="8"/>
  <c r="G10" i="8" s="1"/>
  <c r="F11" i="8"/>
  <c r="G11" i="8" s="1"/>
  <c r="F12" i="8"/>
  <c r="G12" i="8" s="1"/>
  <c r="G13" i="8" l="1"/>
  <c r="E20" i="6"/>
  <c r="G23" i="2" l="1"/>
  <c r="G21" i="2"/>
  <c r="G24" i="2"/>
  <c r="G22" i="2"/>
  <c r="I22" i="2" s="1"/>
  <c r="G20" i="2"/>
  <c r="I20" i="2" s="1"/>
  <c r="J20" i="2" s="1"/>
  <c r="G25" i="2"/>
  <c r="I25" i="2" s="1"/>
  <c r="J25" i="2" s="1"/>
  <c r="G26" i="2"/>
  <c r="I26" i="2" s="1"/>
  <c r="J26" i="2" s="1"/>
  <c r="G18" i="2"/>
  <c r="I18" i="2" s="1"/>
  <c r="J18" i="2" s="1"/>
  <c r="M9" i="3"/>
  <c r="J9" i="3"/>
  <c r="K26" i="2" l="1"/>
  <c r="L26" i="2" s="1"/>
  <c r="N26" i="2" s="1"/>
  <c r="O26" i="2" s="1"/>
  <c r="P26" i="2" s="1"/>
  <c r="K20" i="2"/>
  <c r="L20" i="2" s="1"/>
  <c r="N20" i="2" s="1"/>
  <c r="O20" i="2" s="1"/>
  <c r="P20" i="2" s="1"/>
  <c r="I24" i="2"/>
  <c r="J24" i="2" s="1"/>
  <c r="K24" i="2" s="1"/>
  <c r="L24" i="2" s="1"/>
  <c r="N24" i="2" s="1"/>
  <c r="O24" i="2" s="1"/>
  <c r="P24" i="2" s="1"/>
  <c r="I23" i="2"/>
  <c r="J23" i="2" s="1"/>
  <c r="K18" i="2"/>
  <c r="L18" i="2" s="1"/>
  <c r="K25" i="2"/>
  <c r="L25" i="2" s="1"/>
  <c r="J22" i="2"/>
  <c r="I21" i="2"/>
  <c r="J21" i="2" s="1"/>
  <c r="K22" i="2" l="1"/>
  <c r="L22" i="2" s="1"/>
  <c r="K23" i="2"/>
  <c r="L23" i="2" s="1"/>
  <c r="N25" i="2"/>
  <c r="O25" i="2" s="1"/>
  <c r="P25" i="2" s="1"/>
  <c r="N18" i="2"/>
  <c r="O18" i="2" s="1"/>
  <c r="P18" i="2" s="1"/>
  <c r="P14" i="2" s="1"/>
  <c r="K21" i="2"/>
  <c r="L21" i="2" s="1"/>
  <c r="N21" i="2" s="1"/>
  <c r="O21" i="2" s="1"/>
  <c r="P21" i="2" s="1"/>
  <c r="K14" i="3"/>
  <c r="J14" i="3" s="1"/>
  <c r="M14" i="3" s="1"/>
  <c r="F14" i="3"/>
  <c r="N23" i="2" l="1"/>
  <c r="O23" i="2" s="1"/>
  <c r="P23" i="2" s="1"/>
  <c r="N22" i="2"/>
  <c r="O22" i="2" s="1"/>
  <c r="P22" i="2" s="1"/>
  <c r="P19" i="2" l="1"/>
  <c r="N46" i="2"/>
  <c r="B35" i="2"/>
  <c r="D35" i="2" s="1"/>
  <c r="H35" i="2" l="1"/>
  <c r="E35" i="2"/>
  <c r="I35" i="2" s="1"/>
  <c r="K13" i="3"/>
  <c r="J13" i="3" s="1"/>
  <c r="M13" i="3" s="1"/>
  <c r="I12" i="3"/>
  <c r="I11" i="3"/>
  <c r="H13" i="3"/>
  <c r="G13" i="3"/>
  <c r="E13" i="3"/>
  <c r="F13" i="3" s="1"/>
  <c r="K9" i="3"/>
  <c r="H12" i="3"/>
  <c r="C12" i="3"/>
  <c r="K11" i="3"/>
  <c r="H11" i="3"/>
  <c r="E9" i="3"/>
  <c r="E12" i="3" s="1"/>
  <c r="D11" i="3"/>
  <c r="D12" i="3" s="1"/>
  <c r="J35" i="2" l="1"/>
  <c r="K35" i="2" s="1"/>
  <c r="L35" i="2" s="1"/>
  <c r="M12" i="3"/>
  <c r="J11" i="3"/>
  <c r="E11" i="3"/>
  <c r="J12" i="3"/>
  <c r="N35" i="2" l="1"/>
  <c r="O35" i="2" s="1"/>
  <c r="P35" i="2" s="1"/>
  <c r="M11" i="3"/>
  <c r="P27" i="2" l="1"/>
  <c r="P47" i="2" s="1"/>
  <c r="Q47" i="2" s="1"/>
  <c r="S47" i="2" s="1"/>
  <c r="K10" i="3"/>
  <c r="K12" i="3" s="1"/>
  <c r="E10" i="3"/>
  <c r="F9" i="3"/>
  <c r="F11" i="3" s="1"/>
  <c r="F12" i="3" s="1"/>
  <c r="F10" i="3"/>
  <c r="R15" i="2" l="1"/>
  <c r="R16" i="2"/>
  <c r="R44" i="2"/>
  <c r="R38" i="2"/>
  <c r="R29" i="2"/>
  <c r="R20" i="2"/>
  <c r="R43" i="2"/>
  <c r="R42" i="2" s="1"/>
  <c r="R30" i="2"/>
  <c r="R21" i="2"/>
  <c r="R36" i="2"/>
  <c r="R31" i="2"/>
  <c r="R22" i="2"/>
  <c r="R46" i="2"/>
  <c r="R45" i="2" s="1"/>
  <c r="R28" i="2"/>
  <c r="R18" i="2"/>
  <c r="R32" i="2"/>
  <c r="R33" i="2"/>
  <c r="R24" i="2"/>
  <c r="R34" i="2"/>
  <c r="R25" i="2"/>
  <c r="R26" i="2"/>
  <c r="R17" i="2"/>
  <c r="R37" i="2"/>
  <c r="R23" i="2"/>
  <c r="R35" i="2"/>
  <c r="J10" i="3"/>
  <c r="M10" i="3" s="1"/>
  <c r="R14" i="2" l="1"/>
  <c r="R27" i="2"/>
  <c r="R19" i="2"/>
  <c r="G9" i="3"/>
  <c r="R48" i="2" l="1"/>
  <c r="G11" i="3"/>
  <c r="G12" i="3"/>
  <c r="D47" i="2" l="1"/>
  <c r="N47" i="2" l="1"/>
  <c r="O47" i="2" l="1"/>
</calcChain>
</file>

<file path=xl/comments1.xml><?xml version="1.0" encoding="utf-8"?>
<comments xmlns="http://schemas.openxmlformats.org/spreadsheetml/2006/main">
  <authors>
    <author>PTO5</author>
  </authors>
  <commentList>
    <comment ref="D33" authorId="0">
      <text>
        <r>
          <rPr>
            <sz val="9"/>
            <color indexed="81"/>
            <rFont val="Tahoma"/>
            <family val="2"/>
            <charset val="204"/>
          </rPr>
          <t>работы выполняют 2 человека</t>
        </r>
      </text>
    </comment>
  </commentList>
</comments>
</file>

<file path=xl/comments2.xml><?xml version="1.0" encoding="utf-8"?>
<comments xmlns="http://schemas.openxmlformats.org/spreadsheetml/2006/main">
  <authors>
    <author>PTO5</author>
  </authors>
  <commentList>
    <comment ref="D22" authorId="0">
      <text>
        <r>
          <rPr>
            <sz val="9"/>
            <color indexed="81"/>
            <rFont val="Tahoma"/>
            <family val="2"/>
            <charset val="204"/>
          </rPr>
          <t>работы выполняют 2 человека</t>
        </r>
      </text>
    </comment>
  </commentList>
</comments>
</file>

<file path=xl/comments3.xml><?xml version="1.0" encoding="utf-8"?>
<comments xmlns="http://schemas.openxmlformats.org/spreadsheetml/2006/main">
  <authors>
    <author>PTO5</author>
  </authors>
  <commentList>
    <comment ref="D34" authorId="0">
      <text>
        <r>
          <rPr>
            <sz val="9"/>
            <color indexed="81"/>
            <rFont val="Tahoma"/>
            <family val="2"/>
            <charset val="204"/>
          </rPr>
          <t>работы выполняют 2 человека</t>
        </r>
      </text>
    </comment>
  </commentList>
</comments>
</file>

<file path=xl/comments4.xml><?xml version="1.0" encoding="utf-8"?>
<comments xmlns="http://schemas.openxmlformats.org/spreadsheetml/2006/main">
  <authors>
    <author>PTO5</author>
  </authors>
  <commentList>
    <comment ref="D28" authorId="0">
      <text>
        <r>
          <rPr>
            <sz val="9"/>
            <color indexed="81"/>
            <rFont val="Tahoma"/>
            <family val="2"/>
            <charset val="204"/>
          </rPr>
          <t>работы выполняют 2 человека</t>
        </r>
      </text>
    </comment>
  </commentList>
</comments>
</file>

<file path=xl/comments5.xml><?xml version="1.0" encoding="utf-8"?>
<comments xmlns="http://schemas.openxmlformats.org/spreadsheetml/2006/main">
  <authors>
    <author>PTO5</author>
  </authors>
  <commentList>
    <comment ref="D34" authorId="0">
      <text>
        <r>
          <rPr>
            <sz val="9"/>
            <color indexed="81"/>
            <rFont val="Tahoma"/>
            <family val="2"/>
            <charset val="204"/>
          </rPr>
          <t>работы выполняют 2 человека</t>
        </r>
      </text>
    </comment>
  </commentList>
</comments>
</file>

<file path=xl/comments6.xml><?xml version="1.0" encoding="utf-8"?>
<comments xmlns="http://schemas.openxmlformats.org/spreadsheetml/2006/main">
  <authors>
    <author>PTO5</author>
  </authors>
  <commentList>
    <comment ref="D28" authorId="0">
      <text>
        <r>
          <rPr>
            <sz val="9"/>
            <color indexed="81"/>
            <rFont val="Tahoma"/>
            <family val="2"/>
            <charset val="204"/>
          </rPr>
          <t>работы выполняют 2 человека</t>
        </r>
      </text>
    </comment>
  </commentList>
</comments>
</file>

<file path=xl/comments7.xml><?xml version="1.0" encoding="utf-8"?>
<comments xmlns="http://schemas.openxmlformats.org/spreadsheetml/2006/main">
  <authors>
    <author>PTO5</author>
  </authors>
  <commentList>
    <comment ref="E2" authorId="0">
      <text>
        <r>
          <rPr>
            <sz val="9"/>
            <color indexed="81"/>
            <rFont val="Tahoma"/>
            <family val="2"/>
            <charset val="204"/>
          </rPr>
          <t xml:space="preserve">Цена на 2017 г.
</t>
        </r>
      </text>
    </comment>
  </commentList>
</comments>
</file>

<file path=xl/sharedStrings.xml><?xml version="1.0" encoding="utf-8"?>
<sst xmlns="http://schemas.openxmlformats.org/spreadsheetml/2006/main" count="700" uniqueCount="188">
  <si>
    <t>Годовая плата (рублей)</t>
  </si>
  <si>
    <t>Расчет заработной платы</t>
  </si>
  <si>
    <t>№ п/п</t>
  </si>
  <si>
    <t>Наименование</t>
  </si>
  <si>
    <t>Разряд</t>
  </si>
  <si>
    <t>Оклад</t>
  </si>
  <si>
    <t>Доплаты</t>
  </si>
  <si>
    <t>Оклад с доплатами</t>
  </si>
  <si>
    <t>Премия</t>
  </si>
  <si>
    <t>Коэффициенты</t>
  </si>
  <si>
    <t>ФОТ за месяц ,     руб.</t>
  </si>
  <si>
    <t>Фот за год, руб.</t>
  </si>
  <si>
    <t>Единовременная выплата к отпуску</t>
  </si>
  <si>
    <t>Часовая тарифная ставка,     руб.</t>
  </si>
  <si>
    <t>Слесарь-сантехник</t>
  </si>
  <si>
    <t>Ведущий экономист</t>
  </si>
  <si>
    <t>на содержание и текущий ремот общего имущества</t>
  </si>
  <si>
    <t xml:space="preserve">жилого дома </t>
  </si>
  <si>
    <t>Материалы</t>
  </si>
  <si>
    <t>НДС 18%</t>
  </si>
  <si>
    <t>Ведро</t>
  </si>
  <si>
    <t>Веник</t>
  </si>
  <si>
    <t>Швабра</t>
  </si>
  <si>
    <t>Мыло</t>
  </si>
  <si>
    <t>Совок</t>
  </si>
  <si>
    <t>Рентабельность 10%</t>
  </si>
  <si>
    <t>Взонсы в фонды 30,2%</t>
  </si>
  <si>
    <t>Рабочий по благоустройству населенных пунктов</t>
  </si>
  <si>
    <t>Итого:</t>
  </si>
  <si>
    <t>Плотник</t>
  </si>
  <si>
    <t>Электрик</t>
  </si>
  <si>
    <t>2 раза в год</t>
  </si>
  <si>
    <t>1 раз в год</t>
  </si>
  <si>
    <t>по мере необходимости</t>
  </si>
  <si>
    <t>круглосуточно</t>
  </si>
  <si>
    <t>Диспетчер</t>
  </si>
  <si>
    <t>Стоимость
на 1 кв. метр общей площади (рублей
в месяц с НДС)</t>
  </si>
  <si>
    <t>I. Санитарные работы по содержанию помещений общего пользования</t>
  </si>
  <si>
    <t>4. Уборка подвального помещения</t>
  </si>
  <si>
    <t>II. Уборка земельного участка, входящего в состав общего имущества многокватирного дома</t>
  </si>
  <si>
    <t>V. Прочие услуги</t>
  </si>
  <si>
    <t>VI. Управление МКД</t>
  </si>
  <si>
    <t>3 раза в неделю</t>
  </si>
  <si>
    <t>1 раз в месяц</t>
  </si>
  <si>
    <t>в зимний период</t>
  </si>
  <si>
    <t>2 раза в неделю</t>
  </si>
  <si>
    <t>2 раз в год</t>
  </si>
  <si>
    <t>Мастер жил. фонд</t>
  </si>
  <si>
    <t>1 раз в 2 недели</t>
  </si>
  <si>
    <t>1 раз в неделю</t>
  </si>
  <si>
    <t>Периодичность</t>
  </si>
  <si>
    <t>Годовой фонд рабочего времени на 2018 г,  час.</t>
  </si>
  <si>
    <t>Общехозяйственные расходы 9,64%</t>
  </si>
  <si>
    <t>Часовая тарифная ставка,           руб.</t>
  </si>
  <si>
    <t>ФОТ,              руб.</t>
  </si>
  <si>
    <t>Спец одежда</t>
  </si>
  <si>
    <t>Профессия или должность</t>
  </si>
  <si>
    <t>Наименование средств индивидуальной защиты</t>
  </si>
  <si>
    <t xml:space="preserve">Цена без НДС, руб. </t>
  </si>
  <si>
    <t>Сумма, руб.</t>
  </si>
  <si>
    <t>Костюм  х/б</t>
  </si>
  <si>
    <t>Руковицы комбинированные</t>
  </si>
  <si>
    <t>Зимний период</t>
  </si>
  <si>
    <t>х</t>
  </si>
  <si>
    <r>
      <t xml:space="preserve">Ботинки кожанные </t>
    </r>
    <r>
      <rPr>
        <b/>
        <u/>
        <sz val="10"/>
        <rFont val="Times New Roman"/>
        <family val="1"/>
        <charset val="204"/>
      </rPr>
      <t xml:space="preserve">или </t>
    </r>
    <r>
      <rPr>
        <sz val="10"/>
        <rFont val="Times New Roman"/>
        <family val="1"/>
        <charset val="204"/>
      </rPr>
      <t xml:space="preserve">сапоги кирзовые </t>
    </r>
    <r>
      <rPr>
        <b/>
        <u/>
        <sz val="10"/>
        <rFont val="Times New Roman"/>
        <family val="1"/>
        <charset val="204"/>
      </rPr>
      <t xml:space="preserve">или </t>
    </r>
    <r>
      <rPr>
        <sz val="10"/>
        <rFont val="Times New Roman"/>
        <family val="1"/>
        <charset val="204"/>
      </rPr>
      <t>сапоги резиновые</t>
    </r>
  </si>
  <si>
    <t>Стоимость специальной одежды, специальной обуви и других средств индивидуальной защиты, работникам МУП "СЖКХ" занятым на работах с вредными и (или) опасными условиями труда, а также на работах выполняемых в особых температурных условиях или связанных загразнением</t>
  </si>
  <si>
    <t>Костюм на утепляющей прокладке</t>
  </si>
  <si>
    <t>Шапка-ушанка</t>
  </si>
  <si>
    <t>Руковицы утепленные</t>
  </si>
  <si>
    <r>
      <t xml:space="preserve">Фартук брезентовый </t>
    </r>
    <r>
      <rPr>
        <b/>
        <u/>
        <sz val="10"/>
        <rFont val="Times New Roman"/>
        <family val="1"/>
        <charset val="204"/>
      </rPr>
      <t>или</t>
    </r>
    <r>
      <rPr>
        <sz val="10"/>
        <rFont val="Times New Roman"/>
        <family val="1"/>
        <charset val="204"/>
      </rPr>
      <t xml:space="preserve"> фартук прорезиненный с нагрудником</t>
    </r>
  </si>
  <si>
    <r>
      <t xml:space="preserve">Валенки с резиновым низом </t>
    </r>
    <r>
      <rPr>
        <b/>
        <u/>
        <sz val="10"/>
        <rFont val="Times New Roman"/>
        <family val="1"/>
        <charset val="204"/>
      </rPr>
      <t>или</t>
    </r>
    <r>
      <rPr>
        <sz val="10"/>
        <rFont val="Times New Roman"/>
        <family val="1"/>
        <charset val="204"/>
      </rPr>
      <t xml:space="preserve"> сапоги кожаные утепленные</t>
    </r>
  </si>
  <si>
    <t>Цена с учетом индекса 1,04</t>
  </si>
  <si>
    <t>Мешковина</t>
  </si>
  <si>
    <t>Моющее средство</t>
  </si>
  <si>
    <t xml:space="preserve">Расчет стоимости материалов, приминяемых для работы по санитарному содержанию помещений общего пользования в 2-этажных МКД </t>
  </si>
  <si>
    <t>Норматив ресурсов в год на 1000 кв.м. общей площади</t>
  </si>
  <si>
    <t>Наименование материала</t>
  </si>
  <si>
    <t>Цена,       руб.</t>
  </si>
  <si>
    <t>Норма эксплуатации, шт./год-чел.</t>
  </si>
  <si>
    <t xml:space="preserve">Всего </t>
  </si>
  <si>
    <t>Щетка</t>
  </si>
  <si>
    <t>Чел.-час</t>
  </si>
  <si>
    <t>1. Подметание площадок</t>
  </si>
  <si>
    <t>2. Мытье площадок</t>
  </si>
  <si>
    <t>3. Влажная протирка пыли</t>
  </si>
  <si>
    <t>кг</t>
  </si>
  <si>
    <t>шт</t>
  </si>
  <si>
    <t>Полиэтиленовые пакеты, 200 л.</t>
  </si>
  <si>
    <t xml:space="preserve">Веник </t>
  </si>
  <si>
    <t>Себестоимость</t>
  </si>
  <si>
    <t>Норма времени,      чел-час</t>
  </si>
  <si>
    <t>Месячная плата (руб.)</t>
  </si>
  <si>
    <t>Стоимость,     руб.</t>
  </si>
  <si>
    <r>
      <t xml:space="preserve">Ботинки кожанные </t>
    </r>
    <r>
      <rPr>
        <b/>
        <u/>
        <sz val="10"/>
        <rFont val="Times New Roman"/>
        <family val="1"/>
        <charset val="204"/>
      </rPr>
      <t xml:space="preserve">или </t>
    </r>
    <r>
      <rPr>
        <sz val="10"/>
        <rFont val="Times New Roman"/>
        <family val="1"/>
        <charset val="204"/>
      </rPr>
      <t>сапоги кирзовые</t>
    </r>
    <r>
      <rPr>
        <b/>
        <u/>
        <sz val="10"/>
        <rFont val="Times New Roman"/>
        <family val="1"/>
        <charset val="204"/>
      </rPr>
      <t/>
    </r>
  </si>
  <si>
    <t>Сапоги резиновые</t>
  </si>
  <si>
    <t>Каска защитная</t>
  </si>
  <si>
    <t>Подшлемник под каску</t>
  </si>
  <si>
    <r>
      <t xml:space="preserve">Руковицы комбинированные </t>
    </r>
    <r>
      <rPr>
        <b/>
        <u/>
        <sz val="10"/>
        <rFont val="Times New Roman"/>
        <family val="1"/>
        <charset val="204"/>
      </rPr>
      <t>или</t>
    </r>
    <r>
      <rPr>
        <sz val="10"/>
        <rFont val="Times New Roman"/>
        <family val="1"/>
        <charset val="204"/>
      </rPr>
      <t xml:space="preserve"> перчатки с полимерным покрытием</t>
    </r>
  </si>
  <si>
    <t>17. Прочистка канализационного лежака</t>
  </si>
  <si>
    <t>Резина листовая рулонная</t>
  </si>
  <si>
    <t>Болты с шайбами и гайками</t>
  </si>
  <si>
    <t>Перчатки трикотажные</t>
  </si>
  <si>
    <t xml:space="preserve">26. Дезинсекция </t>
  </si>
  <si>
    <t>Шлем защитный или каска защитная</t>
  </si>
  <si>
    <t>Очки защитные</t>
  </si>
  <si>
    <t>Перчатки диэлектрические</t>
  </si>
  <si>
    <t>Галоши диэлектрические</t>
  </si>
  <si>
    <t>25. Дератизация чердаков и подвалов с применением гельцина</t>
  </si>
  <si>
    <t>Гельцин</t>
  </si>
  <si>
    <t>Масло растительное</t>
  </si>
  <si>
    <t>Крупа</t>
  </si>
  <si>
    <t>Клей ATL</t>
  </si>
  <si>
    <t xml:space="preserve">Готовая смесь для уничтожения </t>
  </si>
  <si>
    <t>насекомых</t>
  </si>
  <si>
    <t>IV. Транспортирование коммунальных отходов</t>
  </si>
  <si>
    <t>(благоустроенные)</t>
  </si>
  <si>
    <t>Наименование работ и услуг</t>
  </si>
  <si>
    <t xml:space="preserve">III. Проведение технических осмотров и мелкий ремонт, содержание оборудования и систем </t>
  </si>
  <si>
    <t>придомовой территории</t>
  </si>
  <si>
    <t xml:space="preserve">(благоустроенные) без подвалов, не имеющие мест общего пользования, </t>
  </si>
  <si>
    <t xml:space="preserve">I. Проведение технических осмотров и мелкий ремонт, содержание оборудования и систем </t>
  </si>
  <si>
    <t>II. Транспортирование коммунальных отходов</t>
  </si>
  <si>
    <t>Размер</t>
  </si>
  <si>
    <t>платы за содержание и ремонт жилого помещения с 1 квадратного метра</t>
  </si>
  <si>
    <t>Управление МКД</t>
  </si>
  <si>
    <t>Транспортирование жидких коммунальных отходов</t>
  </si>
  <si>
    <t>Транспортирование твердых коммунальных отходов</t>
  </si>
  <si>
    <t>Поверка и ремонт коллективных приборов учета</t>
  </si>
  <si>
    <t>Прочистка канализационного лежака</t>
  </si>
  <si>
    <t>Регулировка и наладка систем отопления</t>
  </si>
  <si>
    <t>Осмотр внутренней отделки стен</t>
  </si>
  <si>
    <t>Осмотр кирпичных и железобетонных стен, фасадов</t>
  </si>
  <si>
    <t>Осмотр территории вокруг здания и фундамента</t>
  </si>
  <si>
    <t>Подметание полов во всех помещениях общего пользования</t>
  </si>
  <si>
    <t>Мытье лестничных площадок и маршей с переодической сменой воды</t>
  </si>
  <si>
    <t>Влажная протирка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</si>
  <si>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Уборка подвального помещения</t>
  </si>
  <si>
    <t>Подметание и уборка придомовой территории в теплый период года</t>
  </si>
  <si>
    <t>Очистка урн от мусора</t>
  </si>
  <si>
    <t xml:space="preserve">Сдвижка и подметание снега </t>
  </si>
  <si>
    <t>Ликвидация наледи</t>
  </si>
  <si>
    <t>Сбрасывание снега с крыш, сбивание сосулек</t>
  </si>
  <si>
    <t>Осмотр деревянных стен, перегородок</t>
  </si>
  <si>
    <t xml:space="preserve">Дезинсекция </t>
  </si>
  <si>
    <t>1 раз в 3 года</t>
  </si>
  <si>
    <t>Уборка контейнерных площадок</t>
  </si>
  <si>
    <t>Проведение технических осмотров и устранение незначительных неисправностей  в системах водопровода и канализации, теплоснабжения, электрических устройств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</si>
  <si>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</si>
  <si>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 xml:space="preserve">Уборка мусора с придомовой территории </t>
  </si>
  <si>
    <t>Осмотр всех элементов кровель</t>
  </si>
  <si>
    <t>Содержание, техническое обслуживание и поверка узлов учета холодной воды</t>
  </si>
  <si>
    <t>Содержание, техническое обслуживание и поверка узлов учета горячей воды тепловой энергии</t>
  </si>
  <si>
    <t xml:space="preserve">Дератизация </t>
  </si>
  <si>
    <t>Цеховые расходы 44,29%</t>
  </si>
  <si>
    <t>III. Прочие услуги</t>
  </si>
  <si>
    <t>IV. Управление МКД</t>
  </si>
  <si>
    <t>(неблагоустроенные)</t>
  </si>
  <si>
    <t>общей площади для расчетов с населением, проживающих</t>
  </si>
  <si>
    <t xml:space="preserve">в жилых домах в деревянном исполнении </t>
  </si>
  <si>
    <t xml:space="preserve">в жилых домах в капитальном исполнении </t>
  </si>
  <si>
    <t>I. Уборка земельного участка, входящего в состав общего имущества многокватирного дома</t>
  </si>
  <si>
    <t>V. Управление МКД</t>
  </si>
  <si>
    <t>IV. Прочие услуги</t>
  </si>
  <si>
    <t>III. Транспортирование коммунальных отходов</t>
  </si>
  <si>
    <t xml:space="preserve">II. Проведение технических осмотров и мелкий ремонт, содержание оборудования и систем </t>
  </si>
  <si>
    <t>в жилых домах с печным отоплением</t>
  </si>
  <si>
    <t>(частично благоустроенные), не имеющие мест общего пользования</t>
  </si>
  <si>
    <t>(неблагоустроенные), не имеющие мест общего пользования</t>
  </si>
  <si>
    <t>Приложение № 1 к постановлению</t>
  </si>
  <si>
    <t>Приложение № 2 к постановлению</t>
  </si>
  <si>
    <t>Приложение № 3 к постановлению</t>
  </si>
  <si>
    <t>Приложение № 4 к постановлению</t>
  </si>
  <si>
    <t>Приложение № 5 к постановлению</t>
  </si>
  <si>
    <t>Приложение № 6 к постановлению</t>
  </si>
  <si>
    <t>Приложение № 7 к постановлению</t>
  </si>
  <si>
    <t>Приложение № 8 к постановлению</t>
  </si>
  <si>
    <t xml:space="preserve">в ветхих жилых домах в деревянном исполнении </t>
  </si>
  <si>
    <t>в ветхих жилых домах с печным отоплением</t>
  </si>
  <si>
    <t>с центральным отоплением, водопроводом</t>
  </si>
  <si>
    <t>(сборно-щитовые) с центральным отоплением, водопроводом</t>
  </si>
  <si>
    <t>от 04.07.2018 г. № 8</t>
  </si>
  <si>
    <t>от 04.07.2018 г. № 7</t>
  </si>
  <si>
    <t>от 04.07.2018 г. № 6</t>
  </si>
  <si>
    <t>от 04.07.2018 г. № 5</t>
  </si>
  <si>
    <t>от 04.07.2018 г. № 4</t>
  </si>
  <si>
    <t>от 04.07.2018 г. № 3</t>
  </si>
  <si>
    <t>от 04.07.2018 г. № 2</t>
  </si>
  <si>
    <t xml:space="preserve">от 04.07.2018 г. №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</si>
</sst>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1" fillId="0" borderId="0"/>
  </cellStyleXfs>
  <cellXfs count="173">
    <xf numFmtId="0" fontId="0" fillId="0" borderId="0" xfId="0"/>
    <xf numFmtId="0" fontId="1" fillId="0" borderId="0" xfId="0" applyFont="1" applyAlignment="1">
      <alignment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" fontId="1" fillId="0" borderId="0" xfId="0" applyNumberFormat="1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2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4" fontId="7" fillId="0" borderId="1" xfId="2" applyNumberFormat="1" applyFont="1" applyFill="1" applyBorder="1" applyAlignment="1">
      <alignment horizontal="right" vertical="center" wrapText="1" indent="1"/>
    </xf>
    <xf numFmtId="0" fontId="7" fillId="0" borderId="1" xfId="2" applyFont="1" applyFill="1" applyBorder="1" applyAlignment="1">
      <alignment vertical="center" wrapText="1"/>
    </xf>
    <xf numFmtId="0" fontId="13" fillId="0" borderId="1" xfId="2" applyFont="1" applyFill="1" applyBorder="1"/>
    <xf numFmtId="0" fontId="13" fillId="0" borderId="1" xfId="2" applyFont="1" applyFill="1" applyBorder="1" applyAlignment="1">
      <alignment horizontal="center"/>
    </xf>
    <xf numFmtId="4" fontId="13" fillId="0" borderId="1" xfId="2" applyNumberFormat="1" applyFont="1" applyFill="1" applyBorder="1" applyAlignment="1">
      <alignment horizontal="right"/>
    </xf>
    <xf numFmtId="0" fontId="7" fillId="0" borderId="10" xfId="2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center" vertical="center"/>
    </xf>
    <xf numFmtId="4" fontId="7" fillId="0" borderId="6" xfId="2" applyNumberFormat="1" applyFont="1" applyFill="1" applyBorder="1" applyAlignment="1">
      <alignment horizontal="right" vertical="center" inden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vertical="center" wrapText="1"/>
    </xf>
    <xf numFmtId="0" fontId="17" fillId="0" borderId="0" xfId="0" applyFont="1"/>
    <xf numFmtId="0" fontId="17" fillId="0" borderId="1" xfId="0" applyFont="1" applyBorder="1"/>
    <xf numFmtId="2" fontId="17" fillId="0" borderId="1" xfId="0" applyNumberFormat="1" applyFont="1" applyBorder="1"/>
    <xf numFmtId="0" fontId="17" fillId="0" borderId="6" xfId="0" applyFont="1" applyBorder="1" applyAlignment="1"/>
    <xf numFmtId="0" fontId="15" fillId="0" borderId="8" xfId="0" applyFont="1" applyBorder="1"/>
    <xf numFmtId="0" fontId="19" fillId="0" borderId="6" xfId="0" applyFont="1" applyBorder="1" applyAlignment="1"/>
    <xf numFmtId="0" fontId="17" fillId="0" borderId="7" xfId="0" applyFont="1" applyBorder="1"/>
    <xf numFmtId="0" fontId="17" fillId="0" borderId="6" xfId="0" applyFont="1" applyBorder="1"/>
    <xf numFmtId="0" fontId="17" fillId="0" borderId="2" xfId="0" applyFont="1" applyBorder="1"/>
    <xf numFmtId="2" fontId="17" fillId="0" borderId="8" xfId="0" applyNumberFormat="1" applyFont="1" applyBorder="1" applyAlignment="1">
      <alignment horizontal="right"/>
    </xf>
    <xf numFmtId="0" fontId="7" fillId="0" borderId="1" xfId="2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6" xfId="0" applyFont="1" applyBorder="1" applyAlignment="1"/>
    <xf numFmtId="0" fontId="18" fillId="0" borderId="2" xfId="0" applyFont="1" applyBorder="1"/>
    <xf numFmtId="0" fontId="17" fillId="0" borderId="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4" fontId="7" fillId="0" borderId="10" xfId="2" applyNumberFormat="1" applyFont="1" applyFill="1" applyBorder="1" applyAlignment="1">
      <alignment horizontal="right" vertical="center" wrapText="1" indent="1"/>
    </xf>
    <xf numFmtId="4" fontId="7" fillId="0" borderId="4" xfId="2" applyNumberFormat="1" applyFont="1" applyFill="1" applyBorder="1" applyAlignment="1">
      <alignment horizontal="right" vertical="center" wrapText="1" indent="1"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/>
    <xf numFmtId="0" fontId="17" fillId="0" borderId="6" xfId="0" applyFont="1" applyFill="1" applyBorder="1"/>
    <xf numFmtId="0" fontId="15" fillId="0" borderId="8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/>
    <xf numFmtId="2" fontId="17" fillId="0" borderId="1" xfId="0" applyNumberFormat="1" applyFont="1" applyFill="1" applyBorder="1"/>
    <xf numFmtId="0" fontId="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64" fontId="1" fillId="0" borderId="0" xfId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7" fillId="0" borderId="3" xfId="0" applyFont="1" applyBorder="1"/>
    <xf numFmtId="0" fontId="17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/>
    <xf numFmtId="0" fontId="17" fillId="0" borderId="8" xfId="0" applyFont="1" applyBorder="1" applyAlignment="1"/>
    <xf numFmtId="0" fontId="17" fillId="0" borderId="4" xfId="0" applyFont="1" applyBorder="1"/>
    <xf numFmtId="2" fontId="17" fillId="0" borderId="4" xfId="0" applyNumberFormat="1" applyFont="1" applyBorder="1" applyAlignment="1">
      <alignment horizontal="right"/>
    </xf>
    <xf numFmtId="0" fontId="17" fillId="0" borderId="10" xfId="0" applyFont="1" applyBorder="1"/>
    <xf numFmtId="2" fontId="15" fillId="0" borderId="8" xfId="0" applyNumberFormat="1" applyFont="1" applyBorder="1" applyAlignment="1">
      <alignment horizontal="right"/>
    </xf>
    <xf numFmtId="0" fontId="19" fillId="0" borderId="9" xfId="0" applyFont="1" applyBorder="1"/>
    <xf numFmtId="0" fontId="17" fillId="0" borderId="8" xfId="0" applyFont="1" applyBorder="1" applyAlignment="1">
      <alignment horizontal="right"/>
    </xf>
    <xf numFmtId="0" fontId="19" fillId="0" borderId="7" xfId="0" applyFont="1" applyBorder="1"/>
    <xf numFmtId="0" fontId="17" fillId="0" borderId="12" xfId="0" applyFont="1" applyBorder="1"/>
    <xf numFmtId="2" fontId="17" fillId="0" borderId="1" xfId="0" applyNumberFormat="1" applyFont="1" applyBorder="1" applyAlignment="1">
      <alignment horizontal="right"/>
    </xf>
    <xf numFmtId="0" fontId="15" fillId="0" borderId="11" xfId="0" applyFont="1" applyBorder="1"/>
    <xf numFmtId="2" fontId="15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 horizontal="left"/>
    </xf>
    <xf numFmtId="0" fontId="19" fillId="0" borderId="3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7" fillId="0" borderId="7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4" fontId="7" fillId="0" borderId="1" xfId="2" applyNumberFormat="1" applyFont="1" applyFill="1" applyBorder="1" applyAlignment="1">
      <alignment horizontal="right" vertical="center" indent="1"/>
    </xf>
    <xf numFmtId="2" fontId="17" fillId="0" borderId="10" xfId="0" applyNumberFormat="1" applyFont="1" applyBorder="1" applyAlignment="1">
      <alignment horizontal="right"/>
    </xf>
    <xf numFmtId="2" fontId="1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64" fontId="1" fillId="0" borderId="0" xfId="1" applyFont="1" applyAlignment="1">
      <alignment vertical="center"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right" vertical="center" wrapText="1"/>
    </xf>
    <xf numFmtId="2" fontId="2" fillId="0" borderId="0" xfId="0" applyNumberFormat="1" applyFont="1" applyAlignment="1">
      <alignment wrapText="1"/>
    </xf>
    <xf numFmtId="2" fontId="1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9" fillId="0" borderId="7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9" fillId="0" borderId="8" xfId="0" applyFont="1" applyBorder="1" applyAlignment="1">
      <alignment horizontal="left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51435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4420" y="2575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51435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4420" y="2575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51435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4420" y="2575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51435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4420" y="2575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211455</xdr:rowOff>
    </xdr:to>
    <xdr:sp macro="" textlink="">
      <xdr:nvSpPr>
        <xdr:cNvPr id="6" name="Text Box 42"/>
        <xdr:cNvSpPr txBox="1">
          <a:spLocks noChangeArrowheads="1"/>
        </xdr:cNvSpPr>
      </xdr:nvSpPr>
      <xdr:spPr bwMode="auto">
        <a:xfrm>
          <a:off x="1074420" y="292608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7" name="Text Box 43"/>
        <xdr:cNvSpPr txBox="1">
          <a:spLocks noChangeArrowheads="1"/>
        </xdr:cNvSpPr>
      </xdr:nvSpPr>
      <xdr:spPr bwMode="auto">
        <a:xfrm>
          <a:off x="1074420" y="310134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8" name="Text Box 44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9" name="Text Box 45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0" name="Text Box 46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1" name="Text Box 47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2" name="Text Box 48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3" name="Text Box 49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4" name="Text Box 50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5" name="Text Box 51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6" name="Text Box 52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7" name="Text Box 53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8" name="Text Box 54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19" name="Text Box 55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0" name="Text Box 56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1" name="Text Box 57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2" name="Text Box 58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3" name="Text Box 59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4" name="Text Box 60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5" name="Text Box 61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6" name="Text Box 62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28575</xdr:rowOff>
    </xdr:to>
    <xdr:sp macro="" textlink="">
      <xdr:nvSpPr>
        <xdr:cNvPr id="27" name="Text Box 63"/>
        <xdr:cNvSpPr txBox="1">
          <a:spLocks noChangeArrowheads="1"/>
        </xdr:cNvSpPr>
      </xdr:nvSpPr>
      <xdr:spPr bwMode="auto">
        <a:xfrm>
          <a:off x="1074420" y="4099560"/>
          <a:ext cx="7620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394460" y="155448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28575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394460" y="155448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28575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1394460" y="155448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28575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1394460" y="155448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18</xdr:row>
      <xdr:rowOff>28575</xdr:rowOff>
    </xdr:to>
    <xdr:sp macro="" textlink="">
      <xdr:nvSpPr>
        <xdr:cNvPr id="32" name="Text Box 42"/>
        <xdr:cNvSpPr txBox="1">
          <a:spLocks noChangeArrowheads="1"/>
        </xdr:cNvSpPr>
      </xdr:nvSpPr>
      <xdr:spPr bwMode="auto">
        <a:xfrm>
          <a:off x="1394460" y="22555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76200</xdr:colOff>
      <xdr:row>20</xdr:row>
      <xdr:rowOff>28575</xdr:rowOff>
    </xdr:to>
    <xdr:sp macro="" textlink="">
      <xdr:nvSpPr>
        <xdr:cNvPr id="33" name="Text Box 43"/>
        <xdr:cNvSpPr txBox="1">
          <a:spLocks noChangeArrowheads="1"/>
        </xdr:cNvSpPr>
      </xdr:nvSpPr>
      <xdr:spPr bwMode="auto">
        <a:xfrm>
          <a:off x="1394460" y="259080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34" name="Text Box 44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35" name="Text Box 45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36" name="Text Box 46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37" name="Text Box 47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38" name="Text Box 48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39" name="Text Box 49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0" name="Text Box 50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1" name="Text Box 51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2" name="Text Box 52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3" name="Text Box 53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4" name="Text Box 54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5" name="Text Box 55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6" name="Text Box 56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7" name="Text Box 57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8" name="Text Box 58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49" name="Text Box 59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0" name="Text Box 60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1" name="Text Box 61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2" name="Text Box 62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4" name="Text Box 44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5" name="Text Box 45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6" name="Text Box 46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7" name="Text Box 47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8" name="Text Box 48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59" name="Text Box 49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0" name="Text Box 50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1" name="Text Box 51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2" name="Text Box 52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3" name="Text Box 53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4" name="Text Box 54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5" name="Text Box 55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6" name="Text Box 56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7" name="Text Box 57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8" name="Text Box 58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69" name="Text Box 59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70" name="Text Box 60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71" name="Text Box 61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72" name="Text Box 62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28575</xdr:rowOff>
    </xdr:to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28575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28575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26</xdr:row>
      <xdr:rowOff>28575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29</xdr:row>
      <xdr:rowOff>28575</xdr:rowOff>
    </xdr:to>
    <xdr:sp macro="" textlink="">
      <xdr:nvSpPr>
        <xdr:cNvPr id="78" name="Text Box 42"/>
        <xdr:cNvSpPr txBox="1">
          <a:spLocks noChangeArrowheads="1"/>
        </xdr:cNvSpPr>
      </xdr:nvSpPr>
      <xdr:spPr bwMode="auto">
        <a:xfrm>
          <a:off x="1394460" y="47091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30</xdr:row>
      <xdr:rowOff>28575</xdr:rowOff>
    </xdr:to>
    <xdr:sp macro="" textlink="">
      <xdr:nvSpPr>
        <xdr:cNvPr id="79" name="Text Box 43"/>
        <xdr:cNvSpPr txBox="1">
          <a:spLocks noChangeArrowheads="1"/>
        </xdr:cNvSpPr>
      </xdr:nvSpPr>
      <xdr:spPr bwMode="auto">
        <a:xfrm>
          <a:off x="1394460" y="50749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0" name="Text Box 4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1" name="Text Box 4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2" name="Text Box 4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3" name="Text Box 4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4" name="Text Box 4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5" name="Text Box 4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6" name="Text Box 5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7" name="Text Box 5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8" name="Text Box 5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89" name="Text Box 5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0" name="Text Box 5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1" name="Text Box 5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2" name="Text Box 5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3" name="Text Box 5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4" name="Text Box 5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5" name="Text Box 5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6" name="Text Box 6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7" name="Text Box 6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8" name="Text Box 6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99" name="Text Box 6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0" name="Text Box 4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1" name="Text Box 4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2" name="Text Box 4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3" name="Text Box 4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4" name="Text Box 4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5" name="Text Box 4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6" name="Text Box 5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7" name="Text Box 5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8" name="Text Box 5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09" name="Text Box 5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0" name="Text Box 5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1" name="Text Box 5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2" name="Text Box 5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3" name="Text Box 5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4" name="Text Box 5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5" name="Text Box 5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6" name="Text Box 6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7" name="Text Box 6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8" name="Text Box 6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19" name="Text Box 6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0" name="Text Box 4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1" name="Text Box 4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2" name="Text Box 4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3" name="Text Box 4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4" name="Text Box 4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5" name="Text Box 4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6" name="Text Box 5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7" name="Text Box 5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8" name="Text Box 5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29" name="Text Box 5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0" name="Text Box 5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1" name="Text Box 5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2" name="Text Box 5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3" name="Text Box 5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4" name="Text Box 5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5" name="Text Box 5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6" name="Text Box 6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7" name="Text Box 6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8" name="Text Box 6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39" name="Text Box 6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394460" y="632460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394460" y="632460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1394460" y="632460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43" name="Text Box 4"/>
        <xdr:cNvSpPr txBox="1">
          <a:spLocks noChangeArrowheads="1"/>
        </xdr:cNvSpPr>
      </xdr:nvSpPr>
      <xdr:spPr bwMode="auto">
        <a:xfrm>
          <a:off x="1394460" y="632460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76200</xdr:colOff>
      <xdr:row>37</xdr:row>
      <xdr:rowOff>211455</xdr:rowOff>
    </xdr:to>
    <xdr:sp macro="" textlink="">
      <xdr:nvSpPr>
        <xdr:cNvPr id="144" name="Text Box 42"/>
        <xdr:cNvSpPr txBox="1">
          <a:spLocks noChangeArrowheads="1"/>
        </xdr:cNvSpPr>
      </xdr:nvSpPr>
      <xdr:spPr bwMode="auto">
        <a:xfrm>
          <a:off x="1394460" y="70256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45" name="Text Box 43"/>
        <xdr:cNvSpPr txBox="1">
          <a:spLocks noChangeArrowheads="1"/>
        </xdr:cNvSpPr>
      </xdr:nvSpPr>
      <xdr:spPr bwMode="auto">
        <a:xfrm>
          <a:off x="1394460" y="72085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46" name="Text Box 44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47" name="Text Box 45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48" name="Text Box 46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49" name="Text Box 47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0" name="Text Box 48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1" name="Text Box 49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2" name="Text Box 50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3" name="Text Box 51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4" name="Text Box 52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5" name="Text Box 53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6" name="Text Box 54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7" name="Text Box 55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8" name="Text Box 56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9" name="Text Box 57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60" name="Text Box 58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61" name="Text Box 59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62" name="Text Box 60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63" name="Text Box 61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64" name="Text Box 62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65" name="Text Box 63"/>
        <xdr:cNvSpPr txBox="1">
          <a:spLocks noChangeArrowheads="1"/>
        </xdr:cNvSpPr>
      </xdr:nvSpPr>
      <xdr:spPr bwMode="auto">
        <a:xfrm>
          <a:off x="1394460" y="82753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66" name="Text Box 44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67" name="Text Box 45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68" name="Text Box 46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69" name="Text Box 47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0" name="Text Box 48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1" name="Text Box 49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2" name="Text Box 50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3" name="Text Box 51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4" name="Text Box 52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5" name="Text Box 53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6" name="Text Box 54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7" name="Text Box 55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8" name="Text Box 56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79" name="Text Box 57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80" name="Text Box 58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81" name="Text Box 59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82" name="Text Box 60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83" name="Text Box 61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84" name="Text Box 62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76200</xdr:colOff>
      <xdr:row>35</xdr:row>
      <xdr:rowOff>28575</xdr:rowOff>
    </xdr:to>
    <xdr:sp macro="" textlink="">
      <xdr:nvSpPr>
        <xdr:cNvPr id="185" name="Text Box 63"/>
        <xdr:cNvSpPr txBox="1">
          <a:spLocks noChangeArrowheads="1"/>
        </xdr:cNvSpPr>
      </xdr:nvSpPr>
      <xdr:spPr bwMode="auto">
        <a:xfrm>
          <a:off x="1394460" y="36423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76200</xdr:colOff>
      <xdr:row>36</xdr:row>
      <xdr:rowOff>28575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1394460" y="382524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90" name="Text Box 42"/>
        <xdr:cNvSpPr txBox="1">
          <a:spLocks noChangeArrowheads="1"/>
        </xdr:cNvSpPr>
      </xdr:nvSpPr>
      <xdr:spPr bwMode="auto">
        <a:xfrm>
          <a:off x="1394460" y="470916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44</xdr:row>
      <xdr:rowOff>28575</xdr:rowOff>
    </xdr:to>
    <xdr:sp macro="" textlink="">
      <xdr:nvSpPr>
        <xdr:cNvPr id="191" name="Text Box 43"/>
        <xdr:cNvSpPr txBox="1">
          <a:spLocks noChangeArrowheads="1"/>
        </xdr:cNvSpPr>
      </xdr:nvSpPr>
      <xdr:spPr bwMode="auto">
        <a:xfrm>
          <a:off x="1394460" y="50749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2" name="Text Box 4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4" name="Text Box 4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5" name="Text Box 4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6" name="Text Box 4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7" name="Text Box 4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8" name="Text Box 5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199" name="Text Box 5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0" name="Text Box 5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1" name="Text Box 5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2" name="Text Box 5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3" name="Text Box 5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4" name="Text Box 5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5" name="Text Box 5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6" name="Text Box 5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7" name="Text Box 5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8" name="Text Box 6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09" name="Text Box 6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0" name="Text Box 6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1" name="Text Box 6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2" name="Text Box 4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3" name="Text Box 4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4" name="Text Box 4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5" name="Text Box 4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6" name="Text Box 4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7" name="Text Box 4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8" name="Text Box 5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19" name="Text Box 5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0" name="Text Box 5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1" name="Text Box 5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2" name="Text Box 54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3" name="Text Box 55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4" name="Text Box 56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5" name="Text Box 57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6" name="Text Box 58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7" name="Text Box 59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8" name="Text Box 60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29" name="Text Box 61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30" name="Text Box 62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76200</xdr:colOff>
      <xdr:row>49</xdr:row>
      <xdr:rowOff>28575</xdr:rowOff>
    </xdr:to>
    <xdr:sp macro="" textlink="">
      <xdr:nvSpPr>
        <xdr:cNvPr id="231" name="Text Box 63"/>
        <xdr:cNvSpPr txBox="1">
          <a:spLocks noChangeArrowheads="1"/>
        </xdr:cNvSpPr>
      </xdr:nvSpPr>
      <xdr:spPr bwMode="auto">
        <a:xfrm>
          <a:off x="1394460" y="6141720"/>
          <a:ext cx="7620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122"/>
  <sheetViews>
    <sheetView tabSelected="1" view="pageBreakPreview" zoomScaleNormal="100" zoomScaleSheetLayoutView="100" workbookViewId="0">
      <selection activeCell="A2" sqref="A2:T2"/>
    </sheetView>
  </sheetViews>
  <sheetFormatPr defaultColWidth="9.140625" defaultRowHeight="15" outlineLevelCol="1" x14ac:dyDescent="0.25"/>
  <cols>
    <col min="1" max="1" width="101.7109375" style="1" customWidth="1"/>
    <col min="2" max="2" width="14.5703125" style="1" hidden="1" customWidth="1" outlineLevel="1"/>
    <col min="3" max="3" width="14.85546875" style="1" hidden="1" customWidth="1" outlineLevel="1"/>
    <col min="4" max="8" width="14.85546875" style="7" hidden="1" customWidth="1" outlineLevel="1"/>
    <col min="9" max="10" width="16.28515625" style="7" hidden="1" customWidth="1" outlineLevel="1"/>
    <col min="11" max="11" width="16.42578125" style="7" hidden="1" customWidth="1" outlineLevel="1"/>
    <col min="12" max="12" width="14.85546875" style="7" hidden="1" customWidth="1" outlineLevel="1"/>
    <col min="13" max="13" width="23.7109375" style="7" hidden="1" customWidth="1" outlineLevel="1" collapsed="1"/>
    <col min="14" max="14" width="27" style="1" hidden="1" customWidth="1" outlineLevel="1"/>
    <col min="15" max="15" width="14.140625" style="81" hidden="1" customWidth="1" outlineLevel="1"/>
    <col min="16" max="16" width="21.5703125" style="82" hidden="1" customWidth="1"/>
    <col min="17" max="17" width="6" style="1" hidden="1" customWidth="1"/>
    <col min="18" max="19" width="6.7109375" style="1" hidden="1" customWidth="1"/>
    <col min="20" max="20" width="23" style="1" customWidth="1"/>
    <col min="21" max="16384" width="9.140625" style="1"/>
  </cols>
  <sheetData>
    <row r="1" spans="1:20" ht="18.75" customHeight="1" x14ac:dyDescent="0.25">
      <c r="A1" s="155" t="s">
        <v>168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18.75" customHeight="1" x14ac:dyDescent="0.25">
      <c r="A2" s="155" t="s">
        <v>187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15" customHeight="1" x14ac:dyDescent="0.25"/>
    <row r="4" spans="1:20" ht="15" customHeight="1" x14ac:dyDescent="0.25"/>
    <row r="5" spans="1:20" ht="15" customHeight="1" x14ac:dyDescent="0.25"/>
    <row r="6" spans="1:20" ht="15" customHeight="1" x14ac:dyDescent="0.3">
      <c r="A6" s="157" t="s">
        <v>122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</row>
    <row r="7" spans="1:20" ht="15" customHeight="1" x14ac:dyDescent="0.3">
      <c r="A7" s="157" t="s">
        <v>123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</row>
    <row r="8" spans="1:20" ht="15" customHeight="1" x14ac:dyDescent="0.3">
      <c r="A8" s="157" t="s">
        <v>157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</row>
    <row r="9" spans="1:20" ht="15" customHeight="1" x14ac:dyDescent="0.3">
      <c r="A9" s="157" t="s">
        <v>159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1:20" ht="19.5" customHeight="1" x14ac:dyDescent="0.3">
      <c r="A10" s="157" t="s">
        <v>178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1:20" ht="20.25" customHeight="1" x14ac:dyDescent="0.3">
      <c r="A11" s="156" t="s">
        <v>115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</row>
    <row r="12" spans="1:20" ht="17.25" customHeight="1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22"/>
    </row>
    <row r="13" spans="1:20" ht="63" customHeight="1" x14ac:dyDescent="0.25">
      <c r="A13" s="128" t="s">
        <v>116</v>
      </c>
      <c r="B13" s="128" t="s">
        <v>90</v>
      </c>
      <c r="C13" s="128" t="s">
        <v>53</v>
      </c>
      <c r="D13" s="134" t="s">
        <v>54</v>
      </c>
      <c r="E13" s="134" t="s">
        <v>26</v>
      </c>
      <c r="F13" s="134" t="s">
        <v>18</v>
      </c>
      <c r="G13" s="134" t="s">
        <v>55</v>
      </c>
      <c r="H13" s="134" t="s">
        <v>153</v>
      </c>
      <c r="I13" s="134" t="s">
        <v>52</v>
      </c>
      <c r="J13" s="134" t="s">
        <v>89</v>
      </c>
      <c r="K13" s="134" t="s">
        <v>25</v>
      </c>
      <c r="L13" s="134" t="s">
        <v>19</v>
      </c>
      <c r="M13" s="134" t="s">
        <v>50</v>
      </c>
      <c r="N13" s="128" t="s">
        <v>0</v>
      </c>
      <c r="O13" s="128" t="s">
        <v>91</v>
      </c>
      <c r="P13" s="135" t="s">
        <v>36</v>
      </c>
      <c r="T13" s="135" t="s">
        <v>36</v>
      </c>
    </row>
    <row r="14" spans="1:20" ht="19.899999999999999" customHeight="1" x14ac:dyDescent="0.25">
      <c r="A14" s="115" t="s">
        <v>37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7">
        <f>P15+P16+P17+P18</f>
        <v>12.520142006379384</v>
      </c>
      <c r="R14" s="143">
        <f>R15+R16+R17+R18</f>
        <v>6.7840641225975471</v>
      </c>
      <c r="T14" s="149">
        <v>6.7840641225975471</v>
      </c>
    </row>
    <row r="15" spans="1:20" s="25" customFormat="1" ht="19.899999999999999" customHeight="1" x14ac:dyDescent="0.25">
      <c r="A15" s="120" t="s">
        <v>133</v>
      </c>
      <c r="B15" s="139">
        <v>47.28</v>
      </c>
      <c r="C15" s="121">
        <f>ЗП!M10</f>
        <v>154.61664974619285</v>
      </c>
      <c r="D15" s="122">
        <f>B15*C15</f>
        <v>7310.2751999999982</v>
      </c>
      <c r="E15" s="122">
        <f>D15*0.302</f>
        <v>2207.7031103999993</v>
      </c>
      <c r="F15" s="122">
        <f>'Материалы, инвентарь'!E13</f>
        <v>1084.3787</v>
      </c>
      <c r="G15" s="122">
        <f>'Спец одежда'!G13</f>
        <v>3030.048632</v>
      </c>
      <c r="H15" s="122">
        <f>D15*0.4429</f>
        <v>3237.7208860799992</v>
      </c>
      <c r="I15" s="122">
        <f>(D15+E15+F15+G15)*0.964</f>
        <v>13141.639039273598</v>
      </c>
      <c r="J15" s="122">
        <f>D15+E15+F15+G15+H15+I15</f>
        <v>30011.765567753595</v>
      </c>
      <c r="K15" s="122">
        <f>J15*0.1</f>
        <v>3001.1765567753596</v>
      </c>
      <c r="L15" s="122">
        <f>(J15+K15)*0.18</f>
        <v>5942.3295824152119</v>
      </c>
      <c r="M15" s="122" t="s">
        <v>42</v>
      </c>
      <c r="N15" s="122">
        <f>J15+K15+L15</f>
        <v>38955.271706944171</v>
      </c>
      <c r="O15" s="122">
        <f>N15/12</f>
        <v>3246.2726422453475</v>
      </c>
      <c r="P15" s="123">
        <f>O15/1000</f>
        <v>3.2462726422453474</v>
      </c>
      <c r="R15" s="142">
        <f>P15*$S$47</f>
        <v>1.7589993590492239</v>
      </c>
      <c r="T15" s="150">
        <v>1.7589993590492239</v>
      </c>
    </row>
    <row r="16" spans="1:20" ht="19.899999999999999" customHeight="1" x14ac:dyDescent="0.25">
      <c r="A16" s="110" t="s">
        <v>134</v>
      </c>
      <c r="B16" s="108">
        <v>108.19</v>
      </c>
      <c r="C16" s="121">
        <f>ЗП!M10</f>
        <v>154.61664974619285</v>
      </c>
      <c r="D16" s="109">
        <f>B16*C16</f>
        <v>16727.975336040603</v>
      </c>
      <c r="E16" s="109">
        <f>D16*0.302</f>
        <v>5051.8485514842623</v>
      </c>
      <c r="F16" s="109">
        <f>'Материалы, инвентарь'!E20</f>
        <v>966.68319999999994</v>
      </c>
      <c r="G16" s="109">
        <f>'Спец одежда'!G13</f>
        <v>3030.048632</v>
      </c>
      <c r="H16" s="122">
        <f>D16*0.4429</f>
        <v>7408.8202763323834</v>
      </c>
      <c r="I16" s="122">
        <f t="shared" ref="I16:I18" si="0">(D16+E16+F16+G16)*0.964</f>
        <v>24848.599713621967</v>
      </c>
      <c r="J16" s="122">
        <f t="shared" ref="J16:J18" si="1">D16+E16+F16+G16+H16+I16</f>
        <v>58033.975709479215</v>
      </c>
      <c r="K16" s="122">
        <f t="shared" ref="K16:K18" si="2">J16*0.1</f>
        <v>5803.3975709479218</v>
      </c>
      <c r="L16" s="122">
        <f t="shared" ref="L16:L18" si="3">(J16+K16)*0.18</f>
        <v>11490.727190476884</v>
      </c>
      <c r="M16" s="122" t="s">
        <v>49</v>
      </c>
      <c r="N16" s="122">
        <f>J16+K16+L16</f>
        <v>75328.100470904013</v>
      </c>
      <c r="O16" s="122">
        <f t="shared" ref="O16:O17" si="4">N16/12</f>
        <v>6277.3417059086678</v>
      </c>
      <c r="P16" s="123">
        <f t="shared" ref="P16:P18" si="5">O16/1000</f>
        <v>6.2773417059086674</v>
      </c>
      <c r="R16" s="142">
        <f>P16*$S$47</f>
        <v>3.4013902262962747</v>
      </c>
      <c r="T16" s="151">
        <v>3.4013902262962747</v>
      </c>
    </row>
    <row r="17" spans="1:33" ht="31.9" customHeight="1" x14ac:dyDescent="0.25">
      <c r="A17" s="108" t="s">
        <v>135</v>
      </c>
      <c r="B17" s="108">
        <v>1.53</v>
      </c>
      <c r="C17" s="121">
        <f>ЗП!M10</f>
        <v>154.61664974619285</v>
      </c>
      <c r="D17" s="109">
        <f>B17*C17</f>
        <v>236.56347411167505</v>
      </c>
      <c r="E17" s="109">
        <f>D17*0.302</f>
        <v>71.442169181725859</v>
      </c>
      <c r="F17" s="109">
        <f>'Материалы, инвентарь'!E25</f>
        <v>4.2969000000000008</v>
      </c>
      <c r="G17" s="109">
        <f>'Спец одежда'!G13</f>
        <v>3030.048632</v>
      </c>
      <c r="H17" s="122">
        <f t="shared" ref="H17" si="6">D17*0.4429</f>
        <v>104.77396268406088</v>
      </c>
      <c r="I17" s="122">
        <f t="shared" si="0"/>
        <v>3222.0265329828385</v>
      </c>
      <c r="J17" s="122">
        <f t="shared" si="1"/>
        <v>6669.1516709603002</v>
      </c>
      <c r="K17" s="122">
        <f t="shared" si="2"/>
        <v>666.91516709603002</v>
      </c>
      <c r="L17" s="122">
        <f t="shared" si="3"/>
        <v>1320.4920308501394</v>
      </c>
      <c r="M17" s="122" t="s">
        <v>43</v>
      </c>
      <c r="N17" s="122">
        <f>J17+K17+L17</f>
        <v>8656.5588689064698</v>
      </c>
      <c r="O17" s="122">
        <f t="shared" si="4"/>
        <v>721.37990574220578</v>
      </c>
      <c r="P17" s="123">
        <f>O17/1000</f>
        <v>0.72137990574220578</v>
      </c>
      <c r="R17" s="142">
        <f t="shared" ref="R17:R38" si="7">P17*$S$47</f>
        <v>0.39088115253125061</v>
      </c>
      <c r="T17" s="151">
        <v>0.39088115253125061</v>
      </c>
    </row>
    <row r="18" spans="1:33" ht="19.899999999999999" customHeight="1" x14ac:dyDescent="0.25">
      <c r="A18" s="124" t="s">
        <v>136</v>
      </c>
      <c r="B18" s="108">
        <v>8.59</v>
      </c>
      <c r="C18" s="121">
        <f>ЗП!M10</f>
        <v>154.61664974619285</v>
      </c>
      <c r="D18" s="109">
        <f>B18*C18</f>
        <v>1328.1570213197965</v>
      </c>
      <c r="E18" s="109">
        <f>D18*0.302</f>
        <v>401.10342043857855</v>
      </c>
      <c r="F18" s="109">
        <f>'Материалы, инвентарь'!E29</f>
        <v>5650.8145000000004</v>
      </c>
      <c r="G18" s="109">
        <f>'Спец одежда'!G13</f>
        <v>3030.048632</v>
      </c>
      <c r="H18" s="122">
        <f>D18*0.4429</f>
        <v>588.24074474253791</v>
      </c>
      <c r="I18" s="122">
        <f t="shared" si="0"/>
        <v>10035.359125103074</v>
      </c>
      <c r="J18" s="122">
        <f t="shared" si="1"/>
        <v>21033.723443603987</v>
      </c>
      <c r="K18" s="122">
        <f t="shared" si="2"/>
        <v>2103.372344360399</v>
      </c>
      <c r="L18" s="122">
        <f t="shared" si="3"/>
        <v>4164.6772418335895</v>
      </c>
      <c r="M18" s="122" t="s">
        <v>31</v>
      </c>
      <c r="N18" s="122">
        <f>J18+K18+L18</f>
        <v>27301.773029797976</v>
      </c>
      <c r="O18" s="122">
        <f>N18/12</f>
        <v>2275.1477524831648</v>
      </c>
      <c r="P18" s="123">
        <f t="shared" si="5"/>
        <v>2.2751477524831647</v>
      </c>
      <c r="R18" s="142">
        <f t="shared" si="7"/>
        <v>1.2327933847207977</v>
      </c>
      <c r="T18" s="151">
        <v>1.2327933847207977</v>
      </c>
    </row>
    <row r="19" spans="1:33" ht="34.15" customHeight="1" x14ac:dyDescent="0.25">
      <c r="A19" s="113" t="s">
        <v>39</v>
      </c>
      <c r="B19" s="127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27"/>
      <c r="N19" s="127"/>
      <c r="O19" s="127"/>
      <c r="P19" s="112">
        <f>P20+P21+P22+P23+P24+P25+P26</f>
        <v>10.385751379578483</v>
      </c>
      <c r="R19" s="143">
        <f>R20+R21+R22+R23+R24+R25+R26</f>
        <v>5.6275402694726715</v>
      </c>
      <c r="T19" s="149">
        <v>5.6275402694726715</v>
      </c>
    </row>
    <row r="20" spans="1:33" s="25" customFormat="1" ht="19.899999999999999" customHeight="1" x14ac:dyDescent="0.25">
      <c r="A20" s="120" t="s">
        <v>137</v>
      </c>
      <c r="B20" s="140">
        <v>1.89</v>
      </c>
      <c r="C20" s="122">
        <f>ЗП!M10</f>
        <v>154.61664974619285</v>
      </c>
      <c r="D20" s="122">
        <f t="shared" ref="D20:D26" si="8">B20*C20</f>
        <v>292.22546802030445</v>
      </c>
      <c r="E20" s="122">
        <f t="shared" ref="E20:E26" si="9">D20*0.302</f>
        <v>88.252091342131934</v>
      </c>
      <c r="F20" s="122">
        <v>0</v>
      </c>
      <c r="G20" s="122">
        <f>'Спец одежда'!G13</f>
        <v>3030.048632</v>
      </c>
      <c r="H20" s="122">
        <f>D20*0.4429</f>
        <v>129.42665978619286</v>
      </c>
      <c r="I20" s="122">
        <f t="shared" ref="I20:I26" si="10">(D20+E20+F20+G20)*0.964</f>
        <v>3287.7472484733885</v>
      </c>
      <c r="J20" s="122">
        <f t="shared" ref="J20:J26" si="11">D20+E20+F20+G20+H20+I20</f>
        <v>6827.7000996220177</v>
      </c>
      <c r="K20" s="122">
        <f t="shared" ref="K20:K26" si="12">J20*0.1</f>
        <v>682.77000996220181</v>
      </c>
      <c r="L20" s="122">
        <f t="shared" ref="L20:L26" si="13">(J20+K20)*0.18</f>
        <v>1351.8846197251594</v>
      </c>
      <c r="M20" s="122" t="s">
        <v>48</v>
      </c>
      <c r="N20" s="122">
        <f>J20+K20+L20</f>
        <v>8862.3547293093779</v>
      </c>
      <c r="O20" s="122">
        <f>N20/12</f>
        <v>738.52956077578153</v>
      </c>
      <c r="P20" s="123">
        <f t="shared" ref="P20" si="14">O20/1000</f>
        <v>0.73852956077578158</v>
      </c>
      <c r="R20" s="142">
        <f t="shared" si="7"/>
        <v>0.40017372759700665</v>
      </c>
      <c r="T20" s="150">
        <v>0.40017372759700665</v>
      </c>
    </row>
    <row r="21" spans="1:33" ht="19.899999999999999" customHeight="1" x14ac:dyDescent="0.25">
      <c r="A21" s="108" t="s">
        <v>148</v>
      </c>
      <c r="B21" s="140">
        <v>8.34</v>
      </c>
      <c r="C21" s="122">
        <f>ЗП!M10</f>
        <v>154.61664974619285</v>
      </c>
      <c r="D21" s="122">
        <f t="shared" si="8"/>
        <v>1289.5028588832483</v>
      </c>
      <c r="E21" s="122">
        <f t="shared" si="9"/>
        <v>389.42986338274096</v>
      </c>
      <c r="F21" s="122">
        <v>0</v>
      </c>
      <c r="G21" s="122">
        <f>'Спец одежда'!G13</f>
        <v>3030.048632</v>
      </c>
      <c r="H21" s="122">
        <f t="shared" ref="H21:H25" si="15">D21*0.4429</f>
        <v>571.12081619939067</v>
      </c>
      <c r="I21" s="122">
        <f t="shared" si="10"/>
        <v>4539.4580255124138</v>
      </c>
      <c r="J21" s="122">
        <f t="shared" si="11"/>
        <v>9819.5601959777941</v>
      </c>
      <c r="K21" s="122">
        <f t="shared" si="12"/>
        <v>981.95601959777946</v>
      </c>
      <c r="L21" s="122">
        <f t="shared" si="13"/>
        <v>1944.272918803603</v>
      </c>
      <c r="M21" s="122" t="s">
        <v>45</v>
      </c>
      <c r="N21" s="122">
        <f>J21+K21+L21</f>
        <v>12745.789134379176</v>
      </c>
      <c r="O21" s="122">
        <f>N21/12</f>
        <v>1062.1490945315979</v>
      </c>
      <c r="P21" s="123">
        <f t="shared" ref="P21:P23" si="16">O21/1000</f>
        <v>1.0621490945315979</v>
      </c>
      <c r="R21" s="142">
        <f t="shared" si="7"/>
        <v>0.57552762272103397</v>
      </c>
      <c r="T21" s="151">
        <v>0.57552762272103397</v>
      </c>
    </row>
    <row r="22" spans="1:33" ht="19.899999999999999" customHeight="1" x14ac:dyDescent="0.25">
      <c r="A22" s="108" t="s">
        <v>138</v>
      </c>
      <c r="B22" s="140">
        <v>0.18</v>
      </c>
      <c r="C22" s="122">
        <f>ЗП!M10</f>
        <v>154.61664974619285</v>
      </c>
      <c r="D22" s="122">
        <f t="shared" si="8"/>
        <v>27.830996954314713</v>
      </c>
      <c r="E22" s="122">
        <f t="shared" si="9"/>
        <v>8.4049610802030426</v>
      </c>
      <c r="F22" s="122">
        <v>0</v>
      </c>
      <c r="G22" s="122">
        <f>'Спец одежда'!G13</f>
        <v>3030.048632</v>
      </c>
      <c r="H22" s="122">
        <f t="shared" si="15"/>
        <v>12.326348551065987</v>
      </c>
      <c r="I22" s="122">
        <f t="shared" si="10"/>
        <v>2955.8983447932751</v>
      </c>
      <c r="J22" s="122">
        <f t="shared" si="11"/>
        <v>6034.5092833788585</v>
      </c>
      <c r="K22" s="122">
        <f t="shared" si="12"/>
        <v>603.4509283378859</v>
      </c>
      <c r="L22" s="122">
        <f t="shared" si="13"/>
        <v>1194.8328381090139</v>
      </c>
      <c r="M22" s="122" t="s">
        <v>45</v>
      </c>
      <c r="N22" s="122">
        <f t="shared" ref="N22:N23" si="17">J22+K22+L22</f>
        <v>7832.7930498257583</v>
      </c>
      <c r="O22" s="122">
        <f t="shared" ref="O22:O23" si="18">N22/12</f>
        <v>652.73275415214653</v>
      </c>
      <c r="P22" s="123">
        <f t="shared" si="16"/>
        <v>0.65273275415214649</v>
      </c>
      <c r="R22" s="142">
        <f t="shared" si="7"/>
        <v>0.35368455540133426</v>
      </c>
      <c r="T22" s="151">
        <v>0.35368455540133426</v>
      </c>
    </row>
    <row r="23" spans="1:33" s="25" customFormat="1" ht="39" customHeight="1" x14ac:dyDescent="0.25">
      <c r="A23" s="120" t="s">
        <v>145</v>
      </c>
      <c r="B23" s="140">
        <v>0.01</v>
      </c>
      <c r="C23" s="122">
        <f>ЗП!M10</f>
        <v>154.61664974619285</v>
      </c>
      <c r="D23" s="122">
        <f t="shared" si="8"/>
        <v>1.5461664974619285</v>
      </c>
      <c r="E23" s="122">
        <f t="shared" si="9"/>
        <v>0.46694228223350237</v>
      </c>
      <c r="F23" s="122">
        <v>0</v>
      </c>
      <c r="G23" s="122">
        <f>'Спец одежда'!G13</f>
        <v>3030.048632</v>
      </c>
      <c r="H23" s="122">
        <f t="shared" si="15"/>
        <v>0.68479714172588813</v>
      </c>
      <c r="I23" s="122">
        <f t="shared" si="10"/>
        <v>2922.9075181116264</v>
      </c>
      <c r="J23" s="122">
        <f t="shared" si="11"/>
        <v>5955.6540560330477</v>
      </c>
      <c r="K23" s="122">
        <f t="shared" si="12"/>
        <v>595.56540560330484</v>
      </c>
      <c r="L23" s="122">
        <f t="shared" si="13"/>
        <v>1179.2195030945434</v>
      </c>
      <c r="M23" s="122" t="s">
        <v>45</v>
      </c>
      <c r="N23" s="122">
        <f t="shared" si="17"/>
        <v>7730.4389647308953</v>
      </c>
      <c r="O23" s="122">
        <f t="shared" si="18"/>
        <v>644.20324706090798</v>
      </c>
      <c r="P23" s="123">
        <f t="shared" si="16"/>
        <v>0.64420324706090804</v>
      </c>
      <c r="R23" s="142">
        <f t="shared" si="7"/>
        <v>0.34906282483217393</v>
      </c>
      <c r="T23" s="150">
        <v>0.34906282483217393</v>
      </c>
    </row>
    <row r="24" spans="1:33" ht="19.899999999999999" customHeight="1" x14ac:dyDescent="0.25">
      <c r="A24" s="108" t="s">
        <v>139</v>
      </c>
      <c r="B24" s="108">
        <v>16.72</v>
      </c>
      <c r="C24" s="109">
        <f>ЗП!M10</f>
        <v>154.61664974619285</v>
      </c>
      <c r="D24" s="122">
        <f t="shared" si="8"/>
        <v>2585.1903837563441</v>
      </c>
      <c r="E24" s="122">
        <f t="shared" si="9"/>
        <v>780.72749589441594</v>
      </c>
      <c r="F24" s="109">
        <v>0</v>
      </c>
      <c r="G24" s="109">
        <f>'Спец одежда'!G13</f>
        <v>3030.048632</v>
      </c>
      <c r="H24" s="122">
        <f t="shared" si="15"/>
        <v>1144.9808209656849</v>
      </c>
      <c r="I24" s="122">
        <f t="shared" si="10"/>
        <v>6165.7117172313328</v>
      </c>
      <c r="J24" s="122">
        <f t="shared" si="11"/>
        <v>13706.659049847778</v>
      </c>
      <c r="K24" s="122">
        <f t="shared" si="12"/>
        <v>1370.6659049847779</v>
      </c>
      <c r="L24" s="122">
        <f t="shared" si="13"/>
        <v>2713.9184918698602</v>
      </c>
      <c r="M24" s="126" t="s">
        <v>33</v>
      </c>
      <c r="N24" s="122">
        <f>J24+K24+L24</f>
        <v>17791.243446702418</v>
      </c>
      <c r="O24" s="129">
        <f>N24/12</f>
        <v>1482.6036205585349</v>
      </c>
      <c r="P24" s="123">
        <f>O24/1000</f>
        <v>1.4826036205585349</v>
      </c>
      <c r="R24" s="142">
        <f t="shared" si="7"/>
        <v>0.80335175313023555</v>
      </c>
      <c r="T24" s="151">
        <v>0.80335175313023555</v>
      </c>
    </row>
    <row r="25" spans="1:33" ht="19.899999999999999" customHeight="1" x14ac:dyDescent="0.25">
      <c r="A25" s="108" t="s">
        <v>140</v>
      </c>
      <c r="B25" s="108">
        <v>49.01</v>
      </c>
      <c r="C25" s="109">
        <f>ЗП!M10</f>
        <v>154.61664974619285</v>
      </c>
      <c r="D25" s="122">
        <f t="shared" si="8"/>
        <v>7577.7620040609108</v>
      </c>
      <c r="E25" s="122">
        <f t="shared" si="9"/>
        <v>2288.484125226395</v>
      </c>
      <c r="F25" s="109">
        <v>0</v>
      </c>
      <c r="G25" s="109">
        <f>'Спец одежда'!G13</f>
        <v>3030.048632</v>
      </c>
      <c r="H25" s="122">
        <f t="shared" si="15"/>
        <v>3356.1907915985776</v>
      </c>
      <c r="I25" s="122">
        <f t="shared" si="10"/>
        <v>12432.028149880962</v>
      </c>
      <c r="J25" s="122">
        <f t="shared" si="11"/>
        <v>28684.513702766846</v>
      </c>
      <c r="K25" s="122">
        <f t="shared" si="12"/>
        <v>2868.4513702766849</v>
      </c>
      <c r="L25" s="122">
        <f t="shared" si="13"/>
        <v>5679.5337131478354</v>
      </c>
      <c r="M25" s="126" t="s">
        <v>33</v>
      </c>
      <c r="N25" s="122">
        <f>J25+K25+L25</f>
        <v>37232.498786191369</v>
      </c>
      <c r="O25" s="129">
        <f>N25/12</f>
        <v>3102.7082321826142</v>
      </c>
      <c r="P25" s="123">
        <f t="shared" ref="P25:P26" si="19">O25/1000</f>
        <v>3.1027082321826143</v>
      </c>
      <c r="R25" s="142">
        <f t="shared" si="7"/>
        <v>1.6812086947666451</v>
      </c>
      <c r="T25" s="151">
        <v>1.6812086947666451</v>
      </c>
    </row>
    <row r="26" spans="1:33" ht="19.899999999999999" customHeight="1" x14ac:dyDescent="0.25">
      <c r="A26" s="108" t="s">
        <v>141</v>
      </c>
      <c r="B26" s="108">
        <v>41.04</v>
      </c>
      <c r="C26" s="109">
        <f>ЗП!M10</f>
        <v>154.61664974619285</v>
      </c>
      <c r="D26" s="122">
        <f t="shared" si="8"/>
        <v>6345.4673055837548</v>
      </c>
      <c r="E26" s="122">
        <f t="shared" si="9"/>
        <v>1916.331126286294</v>
      </c>
      <c r="F26" s="109">
        <v>0</v>
      </c>
      <c r="G26" s="109">
        <f>'Спец одежда'!G13</f>
        <v>3030.048632</v>
      </c>
      <c r="H26" s="122">
        <f>D26*0.4429</f>
        <v>2810.4074696430453</v>
      </c>
      <c r="I26" s="122">
        <f t="shared" si="10"/>
        <v>10885.340569570728</v>
      </c>
      <c r="J26" s="122">
        <f t="shared" si="11"/>
        <v>24987.595103083822</v>
      </c>
      <c r="K26" s="122">
        <f t="shared" si="12"/>
        <v>2498.7595103083822</v>
      </c>
      <c r="L26" s="122">
        <f t="shared" si="13"/>
        <v>4947.5438304105974</v>
      </c>
      <c r="M26" s="126" t="s">
        <v>44</v>
      </c>
      <c r="N26" s="122">
        <f>J26+K26+L26</f>
        <v>32433.898443802806</v>
      </c>
      <c r="O26" s="129">
        <f>N26/12</f>
        <v>2702.8248703169006</v>
      </c>
      <c r="P26" s="123">
        <f t="shared" si="19"/>
        <v>2.7028248703169004</v>
      </c>
      <c r="R26" s="142">
        <f t="shared" si="7"/>
        <v>1.4645310910242426</v>
      </c>
      <c r="T26" s="151">
        <v>1.4645310910242426</v>
      </c>
    </row>
    <row r="27" spans="1:33" s="78" customFormat="1" ht="19.899999999999999" customHeight="1" x14ac:dyDescent="0.25">
      <c r="A27" s="146" t="s">
        <v>117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8">
        <f>P28+P29+P30+P31+P32+P33+P34+P35+P36</f>
        <v>12.940642532330132</v>
      </c>
      <c r="R27" s="145">
        <f>R28+R29+R30+R31+R32+R33+R34+R35+R37+R38</f>
        <v>7.0119131781579638</v>
      </c>
      <c r="S27" s="1"/>
      <c r="T27" s="152">
        <v>7.0119131781579638</v>
      </c>
    </row>
    <row r="28" spans="1:33" ht="19.899999999999999" customHeight="1" x14ac:dyDescent="0.25">
      <c r="A28" s="108" t="s">
        <v>132</v>
      </c>
      <c r="B28" s="108">
        <v>0.39</v>
      </c>
      <c r="C28" s="109">
        <f>ЗП!M11</f>
        <v>155.61502538071065</v>
      </c>
      <c r="D28" s="126">
        <f>B28*C28</f>
        <v>60.689859898477152</v>
      </c>
      <c r="E28" s="126">
        <f t="shared" ref="E28:E35" si="20">D28*0.302</f>
        <v>18.328337689340099</v>
      </c>
      <c r="F28" s="109">
        <v>0</v>
      </c>
      <c r="G28" s="109">
        <f>'Спец одежда'!G35</f>
        <v>3077.8574320000002</v>
      </c>
      <c r="H28" s="126">
        <f>D28*0.4429</f>
        <v>26.879538949035531</v>
      </c>
      <c r="I28" s="126">
        <f t="shared" ref="I28:I35" si="21">(D28+E28+F28+G28)*0.964</f>
        <v>3043.228106922656</v>
      </c>
      <c r="J28" s="126">
        <f t="shared" ref="J28:J35" si="22">D28+E28+F28+G28+H28+I28</f>
        <v>6226.9832754595091</v>
      </c>
      <c r="K28" s="126">
        <f t="shared" ref="K28:K35" si="23">J28*0.1</f>
        <v>622.69832754595097</v>
      </c>
      <c r="L28" s="126">
        <f t="shared" ref="L28:L35" si="24">(J28+K28)*0.18</f>
        <v>1232.9426885409828</v>
      </c>
      <c r="M28" s="122" t="s">
        <v>32</v>
      </c>
      <c r="N28" s="122">
        <f t="shared" ref="N28:N30" si="25">J28+K28+L28</f>
        <v>8082.6242915464427</v>
      </c>
      <c r="O28" s="129">
        <f t="shared" ref="O28:O30" si="26">N28/12</f>
        <v>673.55202429553685</v>
      </c>
      <c r="P28" s="123">
        <f t="shared" ref="P28:P30" si="27">O28/1000</f>
        <v>0.67355202429553684</v>
      </c>
      <c r="Q28" s="78"/>
      <c r="R28" s="142">
        <f t="shared" si="7"/>
        <v>0.36496551879348071</v>
      </c>
      <c r="S28" s="78"/>
      <c r="T28" s="153">
        <v>0.36496551879348071</v>
      </c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</row>
    <row r="29" spans="1:33" ht="19.899999999999999" customHeight="1" x14ac:dyDescent="0.25">
      <c r="A29" s="108" t="s">
        <v>131</v>
      </c>
      <c r="B29" s="108">
        <v>3.11</v>
      </c>
      <c r="C29" s="109">
        <f>ЗП!M11</f>
        <v>155.61502538071065</v>
      </c>
      <c r="D29" s="126">
        <f>B29*C29</f>
        <v>483.9627289340101</v>
      </c>
      <c r="E29" s="126">
        <f t="shared" si="20"/>
        <v>146.15674413807105</v>
      </c>
      <c r="F29" s="109">
        <v>0</v>
      </c>
      <c r="G29" s="109">
        <f>'Спец одежда'!G35</f>
        <v>3077.8574320000002</v>
      </c>
      <c r="H29" s="126">
        <f t="shared" ref="H29:H30" si="28">D29*0.4429</f>
        <v>214.34709264487307</v>
      </c>
      <c r="I29" s="126">
        <f t="shared" si="21"/>
        <v>3574.4897364894864</v>
      </c>
      <c r="J29" s="126">
        <f t="shared" si="22"/>
        <v>7496.813734206441</v>
      </c>
      <c r="K29" s="126">
        <f t="shared" si="23"/>
        <v>749.68137342064415</v>
      </c>
      <c r="L29" s="126">
        <f t="shared" si="24"/>
        <v>1484.369119372875</v>
      </c>
      <c r="M29" s="122"/>
      <c r="N29" s="122">
        <f t="shared" si="25"/>
        <v>9730.86422699996</v>
      </c>
      <c r="O29" s="129">
        <f t="shared" si="26"/>
        <v>810.90535224999667</v>
      </c>
      <c r="P29" s="123">
        <f t="shared" si="27"/>
        <v>0.81090535224999671</v>
      </c>
      <c r="Q29" s="78"/>
      <c r="R29" s="142">
        <f t="shared" si="7"/>
        <v>0.43939069574598166</v>
      </c>
      <c r="S29" s="78"/>
      <c r="T29" s="153">
        <v>0.43939069574598166</v>
      </c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</row>
    <row r="30" spans="1:33" ht="19.899999999999999" customHeight="1" x14ac:dyDescent="0.25">
      <c r="A30" s="108" t="s">
        <v>130</v>
      </c>
      <c r="B30" s="138">
        <v>4</v>
      </c>
      <c r="C30" s="109">
        <f>ЗП!M10</f>
        <v>154.61664974619285</v>
      </c>
      <c r="D30" s="126">
        <f>B30*C30</f>
        <v>618.46659898477139</v>
      </c>
      <c r="E30" s="126">
        <f t="shared" si="20"/>
        <v>186.77691289340095</v>
      </c>
      <c r="F30" s="109">
        <v>0</v>
      </c>
      <c r="G30" s="109">
        <f>'Спец одежда'!G35</f>
        <v>3077.8574320000002</v>
      </c>
      <c r="H30" s="126">
        <f t="shared" si="28"/>
        <v>273.91885669035526</v>
      </c>
      <c r="I30" s="126">
        <f t="shared" si="21"/>
        <v>3743.3093098985582</v>
      </c>
      <c r="J30" s="126">
        <f t="shared" si="22"/>
        <v>7900.3291104670861</v>
      </c>
      <c r="K30" s="126">
        <f t="shared" si="23"/>
        <v>790.0329110467087</v>
      </c>
      <c r="L30" s="126">
        <f t="shared" si="24"/>
        <v>1564.2651638724828</v>
      </c>
      <c r="M30" s="122" t="s">
        <v>32</v>
      </c>
      <c r="N30" s="122">
        <f t="shared" si="25"/>
        <v>10254.627185386278</v>
      </c>
      <c r="O30" s="129">
        <f t="shared" si="26"/>
        <v>854.55226544885647</v>
      </c>
      <c r="P30" s="123">
        <f t="shared" si="27"/>
        <v>0.85455226544885643</v>
      </c>
      <c r="Q30" s="78"/>
      <c r="R30" s="142">
        <f t="shared" si="7"/>
        <v>0.46304086343127149</v>
      </c>
      <c r="S30" s="78"/>
      <c r="T30" s="153">
        <v>0.46304086343127149</v>
      </c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</row>
    <row r="31" spans="1:33" s="78" customFormat="1" ht="19.899999999999999" customHeight="1" x14ac:dyDescent="0.25">
      <c r="A31" s="120" t="s">
        <v>129</v>
      </c>
      <c r="B31" s="108">
        <v>7.54</v>
      </c>
      <c r="C31" s="109">
        <f>ЗП!M9</f>
        <v>155.61502538071065</v>
      </c>
      <c r="D31" s="109">
        <f>B31*C31</f>
        <v>1173.3372913705582</v>
      </c>
      <c r="E31" s="109">
        <f t="shared" si="20"/>
        <v>354.34786199390857</v>
      </c>
      <c r="F31" s="109">
        <v>0</v>
      </c>
      <c r="G31" s="109">
        <f>'Спец одежда'!G25</f>
        <v>3277.048632</v>
      </c>
      <c r="H31" s="126">
        <f>D31*0.4429</f>
        <v>519.67108634802025</v>
      </c>
      <c r="I31" s="126">
        <f t="shared" si="21"/>
        <v>4631.7633690913453</v>
      </c>
      <c r="J31" s="126">
        <f t="shared" si="22"/>
        <v>9956.1682408038323</v>
      </c>
      <c r="K31" s="126">
        <f t="shared" si="23"/>
        <v>995.61682408038325</v>
      </c>
      <c r="L31" s="126">
        <f t="shared" si="24"/>
        <v>1971.3213116791587</v>
      </c>
      <c r="M31" s="126" t="s">
        <v>33</v>
      </c>
      <c r="N31" s="122">
        <f>J31+K31+L31</f>
        <v>12923.106376563375</v>
      </c>
      <c r="O31" s="129">
        <f>N31/12</f>
        <v>1076.9255313802812</v>
      </c>
      <c r="P31" s="123">
        <f>O31/1000</f>
        <v>1.0769255313802812</v>
      </c>
      <c r="R31" s="142">
        <f t="shared" si="7"/>
        <v>0.58353426474106085</v>
      </c>
      <c r="T31" s="153">
        <v>0.58353426474106085</v>
      </c>
    </row>
    <row r="32" spans="1:33" s="78" customFormat="1" ht="39" customHeight="1" x14ac:dyDescent="0.25">
      <c r="A32" s="108" t="s">
        <v>146</v>
      </c>
      <c r="B32" s="108">
        <v>31.8</v>
      </c>
      <c r="C32" s="109">
        <f>ЗП!M9</f>
        <v>155.61502538071065</v>
      </c>
      <c r="D32" s="109">
        <f>B32*C32</f>
        <v>4948.5578071065984</v>
      </c>
      <c r="E32" s="109">
        <f t="shared" si="20"/>
        <v>1494.4644577461927</v>
      </c>
      <c r="F32" s="109">
        <v>0</v>
      </c>
      <c r="G32" s="109">
        <f>'Спец одежда'!G25</f>
        <v>3277.048632</v>
      </c>
      <c r="H32" s="126">
        <f>D32*0.4429</f>
        <v>2191.7162527675123</v>
      </c>
      <c r="I32" s="126">
        <f t="shared" si="21"/>
        <v>9370.1483445660906</v>
      </c>
      <c r="J32" s="126">
        <f t="shared" si="22"/>
        <v>21281.935494186393</v>
      </c>
      <c r="K32" s="126">
        <f t="shared" si="23"/>
        <v>2128.1935494186396</v>
      </c>
      <c r="L32" s="126">
        <f t="shared" si="24"/>
        <v>4213.8232278489058</v>
      </c>
      <c r="M32" s="122" t="s">
        <v>43</v>
      </c>
      <c r="N32" s="122">
        <f>J32+K32+L32</f>
        <v>27623.952271453938</v>
      </c>
      <c r="O32" s="129">
        <f>N32/12</f>
        <v>2301.9960226211615</v>
      </c>
      <c r="P32" s="123">
        <f>O32/1000</f>
        <v>2.3019960226211613</v>
      </c>
      <c r="R32" s="142">
        <f t="shared" si="7"/>
        <v>1.2473411738835871</v>
      </c>
      <c r="T32" s="153">
        <v>1.2473411738835871</v>
      </c>
    </row>
    <row r="33" spans="1:20" ht="19.899999999999999" customHeight="1" x14ac:dyDescent="0.25">
      <c r="A33" s="130" t="s">
        <v>128</v>
      </c>
      <c r="B33" s="108">
        <v>19.86</v>
      </c>
      <c r="C33" s="109">
        <f>ЗП!M9</f>
        <v>155.61502538071065</v>
      </c>
      <c r="D33" s="109">
        <f>B33*C33*2</f>
        <v>6181.0288081218268</v>
      </c>
      <c r="E33" s="109">
        <f t="shared" si="20"/>
        <v>1866.6707000527917</v>
      </c>
      <c r="F33" s="109">
        <f>'Материалы, инвентарь'!E33</f>
        <v>1356.24</v>
      </c>
      <c r="G33" s="109">
        <f>'Спец одежда'!G25</f>
        <v>3277.048632</v>
      </c>
      <c r="H33" s="126">
        <f t="shared" ref="H33:H34" si="29">D33*0.4429</f>
        <v>2737.5776591171571</v>
      </c>
      <c r="I33" s="126">
        <f t="shared" si="21"/>
        <v>12224.472567128332</v>
      </c>
      <c r="J33" s="126">
        <f t="shared" si="22"/>
        <v>27643.038366420107</v>
      </c>
      <c r="K33" s="126">
        <f t="shared" si="23"/>
        <v>2764.303836642011</v>
      </c>
      <c r="L33" s="126">
        <f t="shared" si="24"/>
        <v>5473.3215965511808</v>
      </c>
      <c r="M33" s="122"/>
      <c r="N33" s="122">
        <f>J33+K33+L33</f>
        <v>35880.663799613299</v>
      </c>
      <c r="O33" s="129">
        <f>N33/12</f>
        <v>2990.0553166344416</v>
      </c>
      <c r="P33" s="123">
        <f>O33/1000</f>
        <v>2.9900553166344417</v>
      </c>
      <c r="R33" s="142">
        <f t="shared" si="7"/>
        <v>1.6201674859459334</v>
      </c>
      <c r="T33" s="151">
        <v>1.6201674859459334</v>
      </c>
    </row>
    <row r="34" spans="1:20" ht="19.899999999999999" customHeight="1" x14ac:dyDescent="0.25">
      <c r="A34" s="131" t="s">
        <v>149</v>
      </c>
      <c r="B34" s="108">
        <v>2.8</v>
      </c>
      <c r="C34" s="109">
        <f>ЗП!M9</f>
        <v>155.61502538071065</v>
      </c>
      <c r="D34" s="109">
        <f>B34*C34</f>
        <v>435.72207106598978</v>
      </c>
      <c r="E34" s="109">
        <f t="shared" si="20"/>
        <v>131.58806546192892</v>
      </c>
      <c r="F34" s="109">
        <v>0</v>
      </c>
      <c r="G34" s="109">
        <f>'Спец одежда'!G35</f>
        <v>3077.8574320000002</v>
      </c>
      <c r="H34" s="126">
        <f t="shared" si="29"/>
        <v>192.98130527512689</v>
      </c>
      <c r="I34" s="126">
        <f t="shared" si="21"/>
        <v>3513.9415360609137</v>
      </c>
      <c r="J34" s="126">
        <f t="shared" si="22"/>
        <v>7352.0904098639594</v>
      </c>
      <c r="K34" s="126">
        <f t="shared" si="23"/>
        <v>735.20904098639596</v>
      </c>
      <c r="L34" s="126">
        <f t="shared" si="24"/>
        <v>1455.7139011530639</v>
      </c>
      <c r="M34" s="122" t="s">
        <v>31</v>
      </c>
      <c r="N34" s="122">
        <f>J34+K34+L34</f>
        <v>9543.0133520034196</v>
      </c>
      <c r="O34" s="129">
        <f>N34/12</f>
        <v>795.2511126669516</v>
      </c>
      <c r="P34" s="123">
        <f>O34/1000</f>
        <v>0.79525111266695159</v>
      </c>
      <c r="R34" s="142">
        <f t="shared" si="7"/>
        <v>0.43090841454918921</v>
      </c>
      <c r="T34" s="151">
        <v>0.43090841454918921</v>
      </c>
    </row>
    <row r="35" spans="1:20" s="78" customFormat="1" ht="32.450000000000003" customHeight="1" x14ac:dyDescent="0.25">
      <c r="A35" s="108" t="s">
        <v>147</v>
      </c>
      <c r="B35" s="108">
        <f>1.98+3.76</f>
        <v>5.74</v>
      </c>
      <c r="C35" s="109">
        <f>ЗП!M9+ЗП!M12</f>
        <v>311.2300507614213</v>
      </c>
      <c r="D35" s="109">
        <f>B35*C35</f>
        <v>1786.4604913705582</v>
      </c>
      <c r="E35" s="109">
        <f t="shared" si="20"/>
        <v>539.51106839390854</v>
      </c>
      <c r="F35" s="109">
        <v>0</v>
      </c>
      <c r="G35" s="109">
        <f>'Спец одежда'!G49+'Спец одежда'!G25</f>
        <v>6869.1860639999995</v>
      </c>
      <c r="H35" s="126">
        <f>D35*0.4429</f>
        <v>791.22335162802028</v>
      </c>
      <c r="I35" s="126">
        <f t="shared" si="21"/>
        <v>8864.131949308945</v>
      </c>
      <c r="J35" s="126">
        <f t="shared" si="22"/>
        <v>18850.512924701434</v>
      </c>
      <c r="K35" s="126">
        <f t="shared" si="23"/>
        <v>1885.0512924701434</v>
      </c>
      <c r="L35" s="126">
        <f t="shared" si="24"/>
        <v>3732.4015590908839</v>
      </c>
      <c r="M35" s="122" t="s">
        <v>34</v>
      </c>
      <c r="N35" s="122">
        <f>J35+K35+L35</f>
        <v>24467.965776262463</v>
      </c>
      <c r="O35" s="129">
        <f>N35/12</f>
        <v>2038.9971480218719</v>
      </c>
      <c r="P35" s="123">
        <f>O35/1000</f>
        <v>2.0389971480218718</v>
      </c>
      <c r="R35" s="142">
        <f t="shared" si="7"/>
        <v>1.1048347048240934</v>
      </c>
      <c r="T35" s="153">
        <v>1.1048347048240934</v>
      </c>
    </row>
    <row r="36" spans="1:20" s="78" customFormat="1" ht="19.899999999999999" customHeight="1" x14ac:dyDescent="0.25">
      <c r="A36" s="110" t="s">
        <v>127</v>
      </c>
      <c r="B36" s="108"/>
      <c r="C36" s="138"/>
      <c r="D36" s="138"/>
      <c r="E36" s="138"/>
      <c r="F36" s="138"/>
      <c r="G36" s="138"/>
      <c r="H36" s="122"/>
      <c r="I36" s="122"/>
      <c r="J36" s="122"/>
      <c r="K36" s="122"/>
      <c r="L36" s="122"/>
      <c r="M36" s="126"/>
      <c r="N36" s="122"/>
      <c r="O36" s="129"/>
      <c r="P36" s="123">
        <f>P37+P38</f>
        <v>1.3984077590110338</v>
      </c>
      <c r="R36" s="78">
        <f t="shared" si="7"/>
        <v>0.75773005624336676</v>
      </c>
      <c r="T36" s="153">
        <v>0.75773005624336676</v>
      </c>
    </row>
    <row r="37" spans="1:20" s="78" customFormat="1" ht="19.899999999999999" customHeight="1" x14ac:dyDescent="0.25">
      <c r="A37" s="110" t="s">
        <v>150</v>
      </c>
      <c r="B37" s="108">
        <v>0.06</v>
      </c>
      <c r="C37" s="109">
        <f>ЗП!M9</f>
        <v>155.61502538071065</v>
      </c>
      <c r="D37" s="109">
        <f>B37*C37</f>
        <v>9.3369015228426377</v>
      </c>
      <c r="E37" s="109">
        <f>D37*0.302</f>
        <v>2.8197442598984765</v>
      </c>
      <c r="F37" s="109">
        <v>0</v>
      </c>
      <c r="G37" s="109">
        <f>'Спец одежда'!G25</f>
        <v>3277.048632</v>
      </c>
      <c r="H37" s="126">
        <f>D37*0.4429</f>
        <v>4.135313684467004</v>
      </c>
      <c r="I37" s="126">
        <f>(D37+E37+F37+G37)*0.964</f>
        <v>3170.7938877825623</v>
      </c>
      <c r="J37" s="126">
        <f>D37+E37+F37+G37+H37+I37</f>
        <v>6464.1344792497703</v>
      </c>
      <c r="K37" s="126">
        <f>J37*0.1</f>
        <v>646.41344792497705</v>
      </c>
      <c r="L37" s="126">
        <f>(J37+K37)*0.18</f>
        <v>1279.8986268914543</v>
      </c>
      <c r="M37" s="126" t="s">
        <v>144</v>
      </c>
      <c r="N37" s="122">
        <f>J37+K37+L37</f>
        <v>8390.4465540662022</v>
      </c>
      <c r="O37" s="129">
        <f>N37/12</f>
        <v>699.20387950551685</v>
      </c>
      <c r="P37" s="123">
        <f>O37/1000</f>
        <v>0.69920387950551688</v>
      </c>
      <c r="R37" s="142">
        <f t="shared" si="7"/>
        <v>0.37886502812168338</v>
      </c>
      <c r="T37" s="153">
        <v>0.37886502812168338</v>
      </c>
    </row>
    <row r="38" spans="1:20" s="78" customFormat="1" ht="19.899999999999999" customHeight="1" x14ac:dyDescent="0.25">
      <c r="A38" s="110" t="s">
        <v>151</v>
      </c>
      <c r="B38" s="108">
        <v>0.06</v>
      </c>
      <c r="C38" s="109">
        <f>ЗП!M9</f>
        <v>155.61502538071065</v>
      </c>
      <c r="D38" s="109">
        <f>B38*C38</f>
        <v>9.3369015228426377</v>
      </c>
      <c r="E38" s="109">
        <f>D38*0.302</f>
        <v>2.8197442598984765</v>
      </c>
      <c r="F38" s="109">
        <v>0</v>
      </c>
      <c r="G38" s="109">
        <f>'Спец одежда'!G25</f>
        <v>3277.048632</v>
      </c>
      <c r="H38" s="126">
        <f>D38*0.4429</f>
        <v>4.135313684467004</v>
      </c>
      <c r="I38" s="126">
        <f>(D38+E38+F38+G38)*0.964</f>
        <v>3170.7938877825623</v>
      </c>
      <c r="J38" s="126">
        <f>D38+E38+F38+G38+H38+I38</f>
        <v>6464.1344792497703</v>
      </c>
      <c r="K38" s="126">
        <f>J38*0.1</f>
        <v>646.41344792497705</v>
      </c>
      <c r="L38" s="126">
        <f>(J38+K38)*0.18</f>
        <v>1279.8986268914543</v>
      </c>
      <c r="M38" s="126" t="s">
        <v>144</v>
      </c>
      <c r="N38" s="122">
        <f>J38+K38+L38</f>
        <v>8390.4465540662022</v>
      </c>
      <c r="O38" s="129">
        <f>N38/12</f>
        <v>699.20387950551685</v>
      </c>
      <c r="P38" s="123">
        <f>O38/1000</f>
        <v>0.69920387950551688</v>
      </c>
      <c r="R38" s="142">
        <f t="shared" si="7"/>
        <v>0.37886502812168338</v>
      </c>
      <c r="T38" s="153">
        <v>0.37886502812168338</v>
      </c>
    </row>
    <row r="39" spans="1:20" s="78" customFormat="1" ht="19.899999999999999" customHeight="1" x14ac:dyDescent="0.25">
      <c r="A39" s="106" t="s">
        <v>114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25"/>
      <c r="N39" s="125"/>
      <c r="O39" s="125"/>
      <c r="P39" s="137">
        <f>P40+P41</f>
        <v>12.32</v>
      </c>
      <c r="T39" s="152">
        <f>T40+T41</f>
        <v>12.4216</v>
      </c>
    </row>
    <row r="40" spans="1:20" s="78" customFormat="1" ht="19.899999999999999" customHeight="1" x14ac:dyDescent="0.25">
      <c r="A40" s="108" t="s">
        <v>126</v>
      </c>
      <c r="B40" s="106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26"/>
      <c r="N40" s="122">
        <f>O40*12</f>
        <v>30480</v>
      </c>
      <c r="O40" s="122">
        <f>P40*1000</f>
        <v>2540</v>
      </c>
      <c r="P40" s="111">
        <v>2.54</v>
      </c>
      <c r="T40" s="153">
        <v>2.6415999999999999</v>
      </c>
    </row>
    <row r="41" spans="1:20" s="78" customFormat="1" ht="19.899999999999999" customHeight="1" x14ac:dyDescent="0.25">
      <c r="A41" s="108" t="s">
        <v>125</v>
      </c>
      <c r="B41" s="106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26"/>
      <c r="N41" s="122">
        <f>O41*12</f>
        <v>117360</v>
      </c>
      <c r="O41" s="122">
        <f>P41*1000</f>
        <v>9780</v>
      </c>
      <c r="P41" s="111">
        <v>9.7799999999999994</v>
      </c>
      <c r="R41" s="144"/>
      <c r="T41" s="153">
        <v>9.7799999999999994</v>
      </c>
    </row>
    <row r="42" spans="1:20" s="78" customFormat="1" ht="19.899999999999999" customHeight="1" x14ac:dyDescent="0.25">
      <c r="A42" s="106" t="s">
        <v>40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25"/>
      <c r="N42" s="125"/>
      <c r="O42" s="125"/>
      <c r="P42" s="137">
        <f>P43+P44</f>
        <v>1.6378613221806846</v>
      </c>
      <c r="R42" s="145">
        <f>R43+R44</f>
        <v>0.88747845095803202</v>
      </c>
      <c r="T42" s="152">
        <v>0.88747845095803202</v>
      </c>
    </row>
    <row r="43" spans="1:20" s="78" customFormat="1" ht="19.899999999999999" customHeight="1" x14ac:dyDescent="0.25">
      <c r="A43" s="108" t="s">
        <v>152</v>
      </c>
      <c r="B43" s="108">
        <v>1.58</v>
      </c>
      <c r="C43" s="109">
        <f>ЗП!M10</f>
        <v>154.61664974619285</v>
      </c>
      <c r="D43" s="109">
        <f>B43*C43</f>
        <v>244.29430659898472</v>
      </c>
      <c r="E43" s="109">
        <f>D43*0.302</f>
        <v>73.776880592893377</v>
      </c>
      <c r="F43" s="109">
        <f>'Материалы, инвентарь'!E39</f>
        <v>156.1823</v>
      </c>
      <c r="G43" s="109">
        <f>'Спец одежда'!G13</f>
        <v>3030.048632</v>
      </c>
      <c r="H43" s="126">
        <f>D43*0.4429</f>
        <v>108.19794839269034</v>
      </c>
      <c r="I43" s="126">
        <f>(D43+E43+F43+G43)*0.964</f>
        <v>3378.14724290097</v>
      </c>
      <c r="J43" s="126">
        <f>D43+E43+F43+G43+H43+I43</f>
        <v>6990.6473104855377</v>
      </c>
      <c r="K43" s="126">
        <f>J43*0.1</f>
        <v>699.06473104855377</v>
      </c>
      <c r="L43" s="126">
        <f>(J43+K43)*0.18</f>
        <v>1384.1481674761365</v>
      </c>
      <c r="M43" s="126" t="s">
        <v>32</v>
      </c>
      <c r="N43" s="122">
        <f>J43+K43+L43</f>
        <v>9073.8602090102286</v>
      </c>
      <c r="O43" s="129">
        <f>N43/12</f>
        <v>756.15501741751905</v>
      </c>
      <c r="P43" s="123">
        <f>O43/1000</f>
        <v>0.756155017417519</v>
      </c>
      <c r="R43" s="142">
        <f t="shared" ref="R43:R44" si="30">P43*$S$47</f>
        <v>0.40972411672092263</v>
      </c>
      <c r="T43" s="153">
        <v>0.40972411672092263</v>
      </c>
    </row>
    <row r="44" spans="1:20" s="78" customFormat="1" ht="19.899999999999999" customHeight="1" x14ac:dyDescent="0.25">
      <c r="A44" s="108" t="s">
        <v>143</v>
      </c>
      <c r="B44" s="108">
        <v>4.3600000000000003</v>
      </c>
      <c r="C44" s="109">
        <f>ЗП!M10</f>
        <v>154.61664974619285</v>
      </c>
      <c r="D44" s="109">
        <f>B44*C44</f>
        <v>674.12859289340088</v>
      </c>
      <c r="E44" s="109">
        <f>D44*0.302</f>
        <v>203.58683505380705</v>
      </c>
      <c r="F44" s="109">
        <f>'Материалы, инвентарь'!E43</f>
        <v>90.604799999999997</v>
      </c>
      <c r="G44" s="109">
        <f>'Спец одежда'!G13</f>
        <v>3030.048632</v>
      </c>
      <c r="H44" s="126">
        <f>D44*0.4429</f>
        <v>298.57155379248724</v>
      </c>
      <c r="I44" s="126">
        <f>(D44+E44+F44+G44)*0.964</f>
        <v>3854.4275809891083</v>
      </c>
      <c r="J44" s="126">
        <f>D44+E44+F44+G44+H44+I44</f>
        <v>8151.3679947288038</v>
      </c>
      <c r="K44" s="126">
        <f>J44*0.1</f>
        <v>815.1367994728804</v>
      </c>
      <c r="L44" s="126">
        <f>(J44+K44)*0.18</f>
        <v>1613.9708629563031</v>
      </c>
      <c r="M44" s="126" t="s">
        <v>46</v>
      </c>
      <c r="N44" s="122">
        <f>J44+K44+L44</f>
        <v>10580.475657157987</v>
      </c>
      <c r="O44" s="129">
        <f>N44/12</f>
        <v>881.70630476316558</v>
      </c>
      <c r="P44" s="123">
        <f>O44/1000</f>
        <v>0.88170630476316558</v>
      </c>
      <c r="R44" s="142">
        <f t="shared" si="30"/>
        <v>0.47775433423710939</v>
      </c>
      <c r="T44" s="153">
        <v>0.47775433423710939</v>
      </c>
    </row>
    <row r="45" spans="1:20" s="78" customFormat="1" ht="19.899999999999999" customHeight="1" x14ac:dyDescent="0.25">
      <c r="A45" s="106" t="s">
        <v>41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25"/>
      <c r="N45" s="125"/>
      <c r="O45" s="125"/>
      <c r="P45" s="137">
        <f>P46</f>
        <v>1.73</v>
      </c>
      <c r="R45" s="145">
        <f>R46</f>
        <v>0.93740397881379423</v>
      </c>
      <c r="T45" s="152">
        <v>0.93740397881379423</v>
      </c>
    </row>
    <row r="46" spans="1:20" s="78" customFormat="1" ht="19.899999999999999" customHeight="1" x14ac:dyDescent="0.25">
      <c r="A46" s="108" t="s">
        <v>124</v>
      </c>
      <c r="B46" s="106"/>
      <c r="C46" s="108"/>
      <c r="D46" s="109"/>
      <c r="E46" s="109"/>
      <c r="F46" s="109"/>
      <c r="G46" s="109"/>
      <c r="H46" s="109"/>
      <c r="I46" s="109"/>
      <c r="J46" s="109"/>
      <c r="K46" s="109"/>
      <c r="L46" s="109"/>
      <c r="M46" s="126" t="s">
        <v>34</v>
      </c>
      <c r="N46" s="109">
        <f>P46*12*595</f>
        <v>12352.199999999999</v>
      </c>
      <c r="O46" s="129">
        <f>P46*12*595</f>
        <v>12352.199999999999</v>
      </c>
      <c r="P46" s="111">
        <v>1.73</v>
      </c>
      <c r="R46" s="142">
        <f t="shared" ref="R46" si="31">P46*$S$47</f>
        <v>0.93740397881379423</v>
      </c>
      <c r="T46" s="153">
        <v>0.93740397881379423</v>
      </c>
    </row>
    <row r="47" spans="1:20" ht="19.899999999999999" customHeight="1" x14ac:dyDescent="0.25">
      <c r="A47" s="106" t="s">
        <v>28</v>
      </c>
      <c r="B47" s="108"/>
      <c r="C47" s="108"/>
      <c r="D47" s="109">
        <f>SUM(D15:D46)</f>
        <v>60347.818574619268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>
        <f>SUM(N15:N46)</f>
        <v>610004.96688562422</v>
      </c>
      <c r="O47" s="129">
        <f>P47*12*595</f>
        <v>367955.59629694634</v>
      </c>
      <c r="P47" s="112">
        <f>P14+P19+P27+P39+P42+P45</f>
        <v>51.534397240468678</v>
      </c>
      <c r="Q47" s="141">
        <f>P47-P40-P41</f>
        <v>39.214397240468678</v>
      </c>
      <c r="R47" s="141">
        <f>33.67-(P40*1.04)-P41</f>
        <v>21.248400000000004</v>
      </c>
      <c r="S47" s="141">
        <f>R47/Q47</f>
        <v>0.54185201087502555</v>
      </c>
      <c r="T47" s="149">
        <f>T14+T19+T27+T39+T42+T45</f>
        <v>33.670000000000016</v>
      </c>
    </row>
    <row r="48" spans="1:20" x14ac:dyDescent="0.25">
      <c r="N48" s="79"/>
      <c r="O48" s="80"/>
      <c r="P48" s="107"/>
      <c r="R48" s="141">
        <f>R14+R19+R27+R42+R45</f>
        <v>21.248400000000007</v>
      </c>
    </row>
    <row r="86" spans="4:16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 x14ac:dyDescent="0.25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 x14ac:dyDescent="0.25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 x14ac:dyDescent="0.25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 x14ac:dyDescent="0.25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 x14ac:dyDescent="0.25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 x14ac:dyDescent="0.25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 x14ac:dyDescent="0.25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 x14ac:dyDescent="0.25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 x14ac:dyDescent="0.25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  <row r="100" spans="4:16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</row>
    <row r="101" spans="4:16" x14ac:dyDescent="0.25"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</row>
    <row r="102" spans="4:16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</row>
    <row r="103" spans="4:16" x14ac:dyDescent="0.25"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</row>
    <row r="104" spans="4:16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</row>
    <row r="105" spans="4:16" x14ac:dyDescent="0.25"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</row>
    <row r="106" spans="4:16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</row>
    <row r="107" spans="4:16" x14ac:dyDescent="0.25"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</row>
    <row r="108" spans="4:16" x14ac:dyDescent="0.25"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</row>
    <row r="109" spans="4:16" x14ac:dyDescent="0.25"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</row>
    <row r="110" spans="4:16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</row>
    <row r="111" spans="4:16" x14ac:dyDescent="0.25"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</row>
    <row r="112" spans="4:16" x14ac:dyDescent="0.25"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</row>
    <row r="113" spans="4:16" x14ac:dyDescent="0.25"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</row>
    <row r="114" spans="4:16" x14ac:dyDescent="0.25"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</row>
    <row r="115" spans="4:16" x14ac:dyDescent="0.25"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</row>
    <row r="116" spans="4:16" x14ac:dyDescent="0.25"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</row>
    <row r="117" spans="4:16" x14ac:dyDescent="0.25"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</row>
    <row r="118" spans="4:16" x14ac:dyDescent="0.25"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</row>
    <row r="119" spans="4:16" x14ac:dyDescent="0.25"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</row>
    <row r="120" spans="4:16" x14ac:dyDescent="0.25"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</row>
    <row r="121" spans="4:16" x14ac:dyDescent="0.25"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</row>
    <row r="122" spans="4:16" x14ac:dyDescent="0.25"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</row>
  </sheetData>
  <mergeCells count="8">
    <mergeCell ref="A1:T1"/>
    <mergeCell ref="A2:T2"/>
    <mergeCell ref="A11:T11"/>
    <mergeCell ref="A6:T6"/>
    <mergeCell ref="A7:T7"/>
    <mergeCell ref="A8:T8"/>
    <mergeCell ref="A9:T9"/>
    <mergeCell ref="A10:T10"/>
  </mergeCells>
  <pageMargins left="0.70866141732283472" right="0.39370078740157483" top="0.15748031496062992" bottom="0.74803149606299213" header="0.31496062992125984" footer="0.31496062992125984"/>
  <pageSetup paperSize="9" scale="7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16" zoomScaleNormal="100" zoomScaleSheetLayoutView="86" workbookViewId="0">
      <selection activeCell="G16" sqref="G16"/>
    </sheetView>
  </sheetViews>
  <sheetFormatPr defaultColWidth="9.140625" defaultRowHeight="12.75" x14ac:dyDescent="0.2"/>
  <cols>
    <col min="1" max="1" width="26.42578125" style="47" customWidth="1"/>
    <col min="2" max="2" width="5.28515625" style="47" customWidth="1"/>
    <col min="3" max="3" width="15" style="47" customWidth="1"/>
    <col min="4" max="4" width="11" style="47" customWidth="1"/>
    <col min="5" max="5" width="14.42578125" style="47" customWidth="1"/>
    <col min="6" max="6" width="14.140625" style="47" customWidth="1"/>
    <col min="7" max="16384" width="9.140625" style="47"/>
  </cols>
  <sheetData>
    <row r="1" spans="1:5" ht="39" customHeight="1" x14ac:dyDescent="0.2">
      <c r="A1" s="160" t="s">
        <v>74</v>
      </c>
      <c r="B1" s="160"/>
      <c r="C1" s="160"/>
      <c r="D1" s="160"/>
      <c r="E1" s="160"/>
    </row>
    <row r="3" spans="1:5" ht="52.9" customHeight="1" x14ac:dyDescent="0.2">
      <c r="A3" s="84" t="s">
        <v>76</v>
      </c>
      <c r="B3" s="84" t="s">
        <v>81</v>
      </c>
      <c r="C3" s="84" t="s">
        <v>75</v>
      </c>
      <c r="D3" s="84" t="s">
        <v>77</v>
      </c>
      <c r="E3" s="84" t="s">
        <v>92</v>
      </c>
    </row>
    <row r="4" spans="1:5" ht="13.9" customHeight="1" x14ac:dyDescent="0.25">
      <c r="A4" s="84">
        <v>1</v>
      </c>
      <c r="B4" s="84">
        <v>2</v>
      </c>
      <c r="C4" s="84">
        <v>3</v>
      </c>
      <c r="D4" s="84">
        <v>4</v>
      </c>
      <c r="E4" s="84">
        <v>5</v>
      </c>
    </row>
    <row r="5" spans="1:5" ht="13.5" x14ac:dyDescent="0.25">
      <c r="A5" s="85" t="s">
        <v>82</v>
      </c>
      <c r="B5" s="60"/>
      <c r="C5" s="52"/>
      <c r="D5" s="50"/>
      <c r="E5" s="86"/>
    </row>
    <row r="6" spans="1:5" x14ac:dyDescent="0.2">
      <c r="A6" s="87" t="s">
        <v>20</v>
      </c>
      <c r="B6" s="64" t="s">
        <v>86</v>
      </c>
      <c r="C6" s="67">
        <v>0.02</v>
      </c>
      <c r="D6" s="68">
        <v>105.09</v>
      </c>
      <c r="E6" s="88">
        <f t="shared" ref="E6:E12" si="0">C6*D6</f>
        <v>2.1017999999999999</v>
      </c>
    </row>
    <row r="7" spans="1:5" x14ac:dyDescent="0.2">
      <c r="A7" s="48" t="s">
        <v>21</v>
      </c>
      <c r="B7" s="62" t="s">
        <v>86</v>
      </c>
      <c r="C7" s="69">
        <v>0.28999999999999998</v>
      </c>
      <c r="D7" s="70">
        <v>160.16999999999999</v>
      </c>
      <c r="E7" s="88">
        <f t="shared" si="0"/>
        <v>46.449299999999994</v>
      </c>
    </row>
    <row r="8" spans="1:5" x14ac:dyDescent="0.2">
      <c r="A8" s="48" t="s">
        <v>24</v>
      </c>
      <c r="B8" s="64" t="s">
        <v>86</v>
      </c>
      <c r="C8" s="69">
        <v>0.01</v>
      </c>
      <c r="D8" s="70">
        <v>123.73</v>
      </c>
      <c r="E8" s="88">
        <f t="shared" si="0"/>
        <v>1.2373000000000001</v>
      </c>
    </row>
    <row r="9" spans="1:5" x14ac:dyDescent="0.2">
      <c r="A9" s="48" t="s">
        <v>22</v>
      </c>
      <c r="B9" s="62" t="s">
        <v>86</v>
      </c>
      <c r="C9" s="69">
        <v>0.02</v>
      </c>
      <c r="D9" s="70">
        <v>71.37</v>
      </c>
      <c r="E9" s="88">
        <f t="shared" si="0"/>
        <v>1.4274000000000002</v>
      </c>
    </row>
    <row r="10" spans="1:5" x14ac:dyDescent="0.2">
      <c r="A10" s="48" t="s">
        <v>72</v>
      </c>
      <c r="B10" s="62" t="s">
        <v>85</v>
      </c>
      <c r="C10" s="69">
        <v>7.21</v>
      </c>
      <c r="D10" s="70">
        <v>48.31</v>
      </c>
      <c r="E10" s="88">
        <f t="shared" si="0"/>
        <v>348.31510000000003</v>
      </c>
    </row>
    <row r="11" spans="1:5" x14ac:dyDescent="0.2">
      <c r="A11" s="48" t="s">
        <v>23</v>
      </c>
      <c r="B11" s="63" t="s">
        <v>85</v>
      </c>
      <c r="C11" s="69">
        <v>14.43</v>
      </c>
      <c r="D11" s="70">
        <v>13.56</v>
      </c>
      <c r="E11" s="88">
        <f t="shared" si="0"/>
        <v>195.67080000000001</v>
      </c>
    </row>
    <row r="12" spans="1:5" x14ac:dyDescent="0.2">
      <c r="A12" s="48" t="s">
        <v>73</v>
      </c>
      <c r="B12" s="62" t="s">
        <v>85</v>
      </c>
      <c r="C12" s="69">
        <v>9.6199999999999992</v>
      </c>
      <c r="D12" s="70">
        <v>50.85</v>
      </c>
      <c r="E12" s="88">
        <f t="shared" si="0"/>
        <v>489.17699999999996</v>
      </c>
    </row>
    <row r="13" spans="1:5" x14ac:dyDescent="0.2">
      <c r="A13" s="53"/>
      <c r="B13" s="54"/>
      <c r="C13" s="58"/>
      <c r="D13" s="51" t="s">
        <v>79</v>
      </c>
      <c r="E13" s="90">
        <f>SUM(E6:E12)</f>
        <v>1084.3787</v>
      </c>
    </row>
    <row r="14" spans="1:5" ht="13.5" x14ac:dyDescent="0.25">
      <c r="A14" s="91" t="s">
        <v>83</v>
      </c>
      <c r="B14" s="61"/>
      <c r="C14" s="59"/>
      <c r="D14" s="55"/>
      <c r="E14" s="92"/>
    </row>
    <row r="15" spans="1:5" x14ac:dyDescent="0.2">
      <c r="A15" s="87" t="s">
        <v>20</v>
      </c>
      <c r="B15" s="64" t="s">
        <v>86</v>
      </c>
      <c r="C15" s="67">
        <v>0.05</v>
      </c>
      <c r="D15" s="68">
        <v>105.09</v>
      </c>
      <c r="E15" s="88">
        <f>C15*D15</f>
        <v>5.2545000000000002</v>
      </c>
    </row>
    <row r="16" spans="1:5" x14ac:dyDescent="0.2">
      <c r="A16" s="48" t="s">
        <v>22</v>
      </c>
      <c r="B16" s="62" t="s">
        <v>86</v>
      </c>
      <c r="C16" s="69">
        <v>0.05</v>
      </c>
      <c r="D16" s="70">
        <v>71.37</v>
      </c>
      <c r="E16" s="88">
        <f t="shared" ref="E16:E19" si="1">C16*D16</f>
        <v>3.5685000000000002</v>
      </c>
    </row>
    <row r="17" spans="1:5" x14ac:dyDescent="0.2">
      <c r="A17" s="48" t="s">
        <v>80</v>
      </c>
      <c r="B17" s="64" t="s">
        <v>86</v>
      </c>
      <c r="C17" s="69">
        <v>0.05</v>
      </c>
      <c r="D17" s="70">
        <v>78.819999999999993</v>
      </c>
      <c r="E17" s="88">
        <f t="shared" si="1"/>
        <v>3.9409999999999998</v>
      </c>
    </row>
    <row r="18" spans="1:5" x14ac:dyDescent="0.2">
      <c r="A18" s="48" t="s">
        <v>72</v>
      </c>
      <c r="B18" s="63" t="s">
        <v>85</v>
      </c>
      <c r="C18" s="69">
        <v>9.6199999999999992</v>
      </c>
      <c r="D18" s="70">
        <v>48.31</v>
      </c>
      <c r="E18" s="88">
        <f t="shared" si="1"/>
        <v>464.74219999999997</v>
      </c>
    </row>
    <row r="19" spans="1:5" x14ac:dyDescent="0.2">
      <c r="A19" s="89" t="s">
        <v>73</v>
      </c>
      <c r="B19" s="63" t="s">
        <v>85</v>
      </c>
      <c r="C19" s="69">
        <v>9.6199999999999992</v>
      </c>
      <c r="D19" s="72">
        <v>50.85</v>
      </c>
      <c r="E19" s="88">
        <f t="shared" si="1"/>
        <v>489.17699999999996</v>
      </c>
    </row>
    <row r="20" spans="1:5" x14ac:dyDescent="0.2">
      <c r="A20" s="53"/>
      <c r="B20" s="54"/>
      <c r="C20" s="73"/>
      <c r="D20" s="74" t="s">
        <v>79</v>
      </c>
      <c r="E20" s="90">
        <f>SUM(E15:E19)</f>
        <v>966.68319999999994</v>
      </c>
    </row>
    <row r="21" spans="1:5" ht="13.5" x14ac:dyDescent="0.25">
      <c r="A21" s="91" t="s">
        <v>84</v>
      </c>
      <c r="B21" s="61"/>
      <c r="C21" s="75"/>
      <c r="D21" s="76"/>
      <c r="E21" s="92"/>
    </row>
    <row r="22" spans="1:5" x14ac:dyDescent="0.2">
      <c r="A22" s="48" t="s">
        <v>72</v>
      </c>
      <c r="B22" s="62" t="s">
        <v>85</v>
      </c>
      <c r="C22" s="69">
        <v>0.03</v>
      </c>
      <c r="D22" s="70">
        <v>48.31</v>
      </c>
      <c r="E22" s="88">
        <f t="shared" ref="E22:E24" si="2">C22*D22</f>
        <v>1.4493</v>
      </c>
    </row>
    <row r="23" spans="1:5" x14ac:dyDescent="0.2">
      <c r="A23" s="89" t="s">
        <v>23</v>
      </c>
      <c r="B23" s="63" t="s">
        <v>85</v>
      </c>
      <c r="C23" s="69">
        <v>0.06</v>
      </c>
      <c r="D23" s="72">
        <v>13.56</v>
      </c>
      <c r="E23" s="88">
        <f>C23*D23</f>
        <v>0.81359999999999999</v>
      </c>
    </row>
    <row r="24" spans="1:5" x14ac:dyDescent="0.2">
      <c r="A24" s="89" t="s">
        <v>73</v>
      </c>
      <c r="B24" s="63" t="s">
        <v>85</v>
      </c>
      <c r="C24" s="69">
        <v>0.04</v>
      </c>
      <c r="D24" s="72">
        <v>50.85</v>
      </c>
      <c r="E24" s="88">
        <f t="shared" si="2"/>
        <v>2.0340000000000003</v>
      </c>
    </row>
    <row r="25" spans="1:5" x14ac:dyDescent="0.2">
      <c r="A25" s="53"/>
      <c r="B25" s="54"/>
      <c r="C25" s="54"/>
      <c r="D25" s="51" t="s">
        <v>79</v>
      </c>
      <c r="E25" s="90">
        <f>SUM(E22:E24)</f>
        <v>4.2969000000000008</v>
      </c>
    </row>
    <row r="26" spans="1:5" x14ac:dyDescent="0.2">
      <c r="A26" s="93" t="s">
        <v>38</v>
      </c>
      <c r="B26" s="54"/>
      <c r="C26" s="54"/>
      <c r="D26" s="51"/>
      <c r="E26" s="56"/>
    </row>
    <row r="27" spans="1:5" x14ac:dyDescent="0.2">
      <c r="A27" s="48" t="s">
        <v>87</v>
      </c>
      <c r="B27" s="62" t="s">
        <v>86</v>
      </c>
      <c r="C27" s="69">
        <v>54.6</v>
      </c>
      <c r="D27" s="77">
        <v>103.39</v>
      </c>
      <c r="E27" s="88">
        <f>C27*D27</f>
        <v>5645.0940000000001</v>
      </c>
    </row>
    <row r="28" spans="1:5" x14ac:dyDescent="0.2">
      <c r="A28" s="48" t="s">
        <v>88</v>
      </c>
      <c r="B28" s="62" t="s">
        <v>86</v>
      </c>
      <c r="C28" s="69">
        <v>0.05</v>
      </c>
      <c r="D28" s="77">
        <v>114.41</v>
      </c>
      <c r="E28" s="88">
        <f t="shared" ref="E28" si="3">C28*D28</f>
        <v>5.7205000000000004</v>
      </c>
    </row>
    <row r="29" spans="1:5" x14ac:dyDescent="0.2">
      <c r="A29" s="94"/>
      <c r="B29" s="83"/>
      <c r="C29" s="83"/>
      <c r="D29" s="96" t="s">
        <v>79</v>
      </c>
      <c r="E29" s="97">
        <f>SUM(E27:E28)</f>
        <v>5650.8145000000004</v>
      </c>
    </row>
    <row r="30" spans="1:5" ht="13.15" customHeight="1" x14ac:dyDescent="0.2">
      <c r="A30" s="98" t="s">
        <v>98</v>
      </c>
      <c r="B30" s="99"/>
      <c r="C30" s="99"/>
      <c r="D30" s="99"/>
      <c r="E30" s="100"/>
    </row>
    <row r="31" spans="1:5" x14ac:dyDescent="0.2">
      <c r="A31" s="48" t="s">
        <v>99</v>
      </c>
      <c r="B31" s="62" t="s">
        <v>85</v>
      </c>
      <c r="C31" s="69">
        <v>2.15</v>
      </c>
      <c r="D31" s="77">
        <v>78</v>
      </c>
      <c r="E31" s="95">
        <f>C31*D31</f>
        <v>167.7</v>
      </c>
    </row>
    <row r="32" spans="1:5" x14ac:dyDescent="0.2">
      <c r="A32" s="48" t="s">
        <v>100</v>
      </c>
      <c r="B32" s="62" t="s">
        <v>85</v>
      </c>
      <c r="C32" s="69">
        <v>8.3699999999999992</v>
      </c>
      <c r="D32" s="77">
        <v>142</v>
      </c>
      <c r="E32" s="88">
        <f t="shared" ref="E32" si="4">C32*D32</f>
        <v>1188.54</v>
      </c>
    </row>
    <row r="33" spans="1:5" x14ac:dyDescent="0.2">
      <c r="A33" s="94"/>
      <c r="B33" s="83"/>
      <c r="C33" s="83"/>
      <c r="D33" s="96" t="s">
        <v>79</v>
      </c>
      <c r="E33" s="97">
        <f>SUM(E31:E32)</f>
        <v>1356.24</v>
      </c>
    </row>
    <row r="34" spans="1:5" ht="13.9" customHeight="1" x14ac:dyDescent="0.2">
      <c r="A34" s="161" t="s">
        <v>107</v>
      </c>
      <c r="B34" s="162"/>
      <c r="C34" s="162"/>
      <c r="D34" s="162"/>
      <c r="E34" s="163"/>
    </row>
    <row r="35" spans="1:5" x14ac:dyDescent="0.2">
      <c r="A35" s="48" t="s">
        <v>108</v>
      </c>
      <c r="B35" s="62" t="s">
        <v>85</v>
      </c>
      <c r="C35" s="69">
        <v>0.04</v>
      </c>
      <c r="D35" s="77">
        <v>398</v>
      </c>
      <c r="E35" s="95">
        <f>C35*D35</f>
        <v>15.92</v>
      </c>
    </row>
    <row r="36" spans="1:5" x14ac:dyDescent="0.2">
      <c r="A36" s="48" t="s">
        <v>109</v>
      </c>
      <c r="B36" s="62" t="s">
        <v>85</v>
      </c>
      <c r="C36" s="69">
        <v>0.01</v>
      </c>
      <c r="D36" s="77">
        <v>41</v>
      </c>
      <c r="E36" s="95">
        <f>C36*D36</f>
        <v>0.41000000000000003</v>
      </c>
    </row>
    <row r="37" spans="1:5" x14ac:dyDescent="0.2">
      <c r="A37" s="48" t="s">
        <v>110</v>
      </c>
      <c r="B37" s="62" t="s">
        <v>85</v>
      </c>
      <c r="C37" s="105">
        <v>0.4</v>
      </c>
      <c r="D37" s="49">
        <v>95</v>
      </c>
      <c r="E37" s="95">
        <f>C37*D37</f>
        <v>38</v>
      </c>
    </row>
    <row r="38" spans="1:5" x14ac:dyDescent="0.2">
      <c r="A38" s="48" t="s">
        <v>111</v>
      </c>
      <c r="B38" s="62" t="s">
        <v>85</v>
      </c>
      <c r="C38" s="69">
        <v>0.11</v>
      </c>
      <c r="D38" s="49">
        <v>925.93</v>
      </c>
      <c r="E38" s="95">
        <f>C38*D38</f>
        <v>101.8523</v>
      </c>
    </row>
    <row r="39" spans="1:5" x14ac:dyDescent="0.2">
      <c r="A39" s="94"/>
      <c r="B39" s="83"/>
      <c r="C39" s="83"/>
      <c r="D39" s="96" t="s">
        <v>79</v>
      </c>
      <c r="E39" s="97">
        <f>SUM(E35:E38)</f>
        <v>156.1823</v>
      </c>
    </row>
    <row r="40" spans="1:5" ht="13.5" x14ac:dyDescent="0.25">
      <c r="A40" s="85" t="s">
        <v>102</v>
      </c>
      <c r="B40" s="60"/>
      <c r="C40" s="52"/>
      <c r="D40" s="50"/>
      <c r="E40" s="86"/>
    </row>
    <row r="41" spans="1:5" x14ac:dyDescent="0.2">
      <c r="A41" s="89" t="s">
        <v>112</v>
      </c>
      <c r="B41" s="63"/>
      <c r="C41" s="71"/>
      <c r="D41" s="89"/>
      <c r="E41" s="104"/>
    </row>
    <row r="42" spans="1:5" x14ac:dyDescent="0.2">
      <c r="A42" s="87" t="s">
        <v>113</v>
      </c>
      <c r="B42" s="64" t="s">
        <v>85</v>
      </c>
      <c r="C42" s="67">
        <v>1.98</v>
      </c>
      <c r="D42" s="68">
        <v>45.76</v>
      </c>
      <c r="E42" s="88">
        <f>C42*D42</f>
        <v>90.604799999999997</v>
      </c>
    </row>
    <row r="43" spans="1:5" x14ac:dyDescent="0.2">
      <c r="A43" s="53"/>
      <c r="B43" s="54"/>
      <c r="C43" s="54"/>
      <c r="D43" s="51" t="s">
        <v>79</v>
      </c>
      <c r="E43" s="90">
        <f>SUM(E41:E42)</f>
        <v>90.604799999999997</v>
      </c>
    </row>
  </sheetData>
  <mergeCells count="2">
    <mergeCell ref="A1:E1"/>
    <mergeCell ref="A34:E3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>
      <selection activeCell="F55" sqref="F55"/>
    </sheetView>
  </sheetViews>
  <sheetFormatPr defaultRowHeight="15" x14ac:dyDescent="0.25"/>
  <cols>
    <col min="1" max="1" width="9" bestFit="1" customWidth="1"/>
    <col min="2" max="2" width="11.28515625" customWidth="1"/>
    <col min="3" max="3" width="37.28515625" customWidth="1"/>
    <col min="4" max="4" width="9" bestFit="1" customWidth="1"/>
    <col min="5" max="6" width="9.28515625" bestFit="1" customWidth="1"/>
    <col min="7" max="7" width="11.7109375" bestFit="1" customWidth="1"/>
  </cols>
  <sheetData>
    <row r="1" spans="1:7" ht="42" customHeight="1" x14ac:dyDescent="0.25">
      <c r="A1" s="172" t="s">
        <v>65</v>
      </c>
      <c r="B1" s="172"/>
      <c r="C1" s="172"/>
      <c r="D1" s="172"/>
      <c r="E1" s="172"/>
      <c r="F1" s="172"/>
      <c r="G1" s="172"/>
    </row>
    <row r="2" spans="1:7" ht="63.75" x14ac:dyDescent="0.25">
      <c r="A2" s="30" t="s">
        <v>2</v>
      </c>
      <c r="B2" s="30" t="s">
        <v>56</v>
      </c>
      <c r="C2" s="30" t="s">
        <v>57</v>
      </c>
      <c r="D2" s="30" t="s">
        <v>78</v>
      </c>
      <c r="E2" s="30" t="s">
        <v>58</v>
      </c>
      <c r="F2" s="30" t="s">
        <v>71</v>
      </c>
      <c r="G2" s="31" t="s">
        <v>59</v>
      </c>
    </row>
    <row r="3" spans="1:7" ht="14.45" x14ac:dyDescent="0.3">
      <c r="A3" s="30">
        <v>1</v>
      </c>
      <c r="B3" s="30">
        <v>2</v>
      </c>
      <c r="C3" s="30">
        <v>3</v>
      </c>
      <c r="D3" s="30">
        <v>4</v>
      </c>
      <c r="E3" s="30">
        <v>7</v>
      </c>
      <c r="F3" s="30">
        <v>8</v>
      </c>
      <c r="G3" s="32">
        <v>9</v>
      </c>
    </row>
    <row r="4" spans="1:7" ht="12.6" customHeight="1" x14ac:dyDescent="0.25">
      <c r="A4" s="164">
        <v>1</v>
      </c>
      <c r="B4" s="167" t="s">
        <v>27</v>
      </c>
      <c r="C4" s="34" t="s">
        <v>60</v>
      </c>
      <c r="D4" s="33">
        <v>1</v>
      </c>
      <c r="E4" s="35">
        <v>812</v>
      </c>
      <c r="F4" s="35">
        <f>E4*1.04</f>
        <v>844.48</v>
      </c>
      <c r="G4" s="35">
        <f>D4*F4</f>
        <v>844.48</v>
      </c>
    </row>
    <row r="5" spans="1:7" ht="25.5" x14ac:dyDescent="0.25">
      <c r="A5" s="165"/>
      <c r="B5" s="168"/>
      <c r="C5" s="34" t="s">
        <v>64</v>
      </c>
      <c r="D5" s="33">
        <v>1</v>
      </c>
      <c r="E5" s="35">
        <v>170</v>
      </c>
      <c r="F5" s="35">
        <f t="shared" ref="F5:F12" si="0">E5*1.04</f>
        <v>176.8</v>
      </c>
      <c r="G5" s="35">
        <f t="shared" ref="G5:G12" si="1">D5*F5</f>
        <v>176.8</v>
      </c>
    </row>
    <row r="6" spans="1:7" ht="16.149999999999999" customHeight="1" x14ac:dyDescent="0.25">
      <c r="A6" s="165"/>
      <c r="B6" s="168"/>
      <c r="C6" s="34" t="s">
        <v>61</v>
      </c>
      <c r="D6" s="33">
        <v>12</v>
      </c>
      <c r="E6" s="35">
        <v>35.590000000000003</v>
      </c>
      <c r="F6" s="35">
        <f t="shared" si="0"/>
        <v>37.013600000000004</v>
      </c>
      <c r="G6" s="35">
        <f t="shared" si="1"/>
        <v>444.16320000000007</v>
      </c>
    </row>
    <row r="7" spans="1:7" ht="26.45" customHeight="1" x14ac:dyDescent="0.25">
      <c r="A7" s="165"/>
      <c r="B7" s="168"/>
      <c r="C7" s="40" t="s">
        <v>69</v>
      </c>
      <c r="D7" s="41">
        <v>1</v>
      </c>
      <c r="E7" s="65">
        <v>122.03</v>
      </c>
      <c r="F7" s="35">
        <f t="shared" si="0"/>
        <v>126.91120000000001</v>
      </c>
      <c r="G7" s="35">
        <f>D7*F7</f>
        <v>126.91120000000001</v>
      </c>
    </row>
    <row r="8" spans="1:7" x14ac:dyDescent="0.25">
      <c r="A8" s="165"/>
      <c r="B8" s="168"/>
      <c r="C8" s="42" t="s">
        <v>62</v>
      </c>
      <c r="D8" s="43"/>
      <c r="E8" s="44"/>
      <c r="F8" s="35"/>
      <c r="G8" s="35"/>
    </row>
    <row r="9" spans="1:7" ht="15" customHeight="1" x14ac:dyDescent="0.25">
      <c r="A9" s="165"/>
      <c r="B9" s="168"/>
      <c r="C9" s="46" t="s">
        <v>66</v>
      </c>
      <c r="D9" s="45">
        <v>0.75</v>
      </c>
      <c r="E9" s="66">
        <v>1173.73</v>
      </c>
      <c r="F9" s="35">
        <f>E9*1.04</f>
        <v>1220.6792</v>
      </c>
      <c r="G9" s="35">
        <f t="shared" si="1"/>
        <v>915.50940000000003</v>
      </c>
    </row>
    <row r="10" spans="1:7" ht="25.5" x14ac:dyDescent="0.25">
      <c r="A10" s="165"/>
      <c r="B10" s="168"/>
      <c r="C10" s="36" t="s">
        <v>70</v>
      </c>
      <c r="D10" s="33">
        <v>0.5</v>
      </c>
      <c r="E10" s="35">
        <v>505</v>
      </c>
      <c r="F10" s="35">
        <f t="shared" si="0"/>
        <v>525.20000000000005</v>
      </c>
      <c r="G10" s="35">
        <f>D10*F10</f>
        <v>262.60000000000002</v>
      </c>
    </row>
    <row r="11" spans="1:7" x14ac:dyDescent="0.25">
      <c r="A11" s="165"/>
      <c r="B11" s="168"/>
      <c r="C11" s="36" t="s">
        <v>67</v>
      </c>
      <c r="D11" s="33">
        <v>0.33</v>
      </c>
      <c r="E11" s="35">
        <v>295.76</v>
      </c>
      <c r="F11" s="35">
        <f t="shared" si="0"/>
        <v>307.59039999999999</v>
      </c>
      <c r="G11" s="35">
        <f t="shared" si="1"/>
        <v>101.50483200000001</v>
      </c>
    </row>
    <row r="12" spans="1:7" ht="12.6" customHeight="1" x14ac:dyDescent="0.25">
      <c r="A12" s="165"/>
      <c r="B12" s="168"/>
      <c r="C12" s="34" t="s">
        <v>68</v>
      </c>
      <c r="D12" s="33">
        <v>4</v>
      </c>
      <c r="E12" s="35">
        <v>38</v>
      </c>
      <c r="F12" s="35">
        <f t="shared" si="0"/>
        <v>39.520000000000003</v>
      </c>
      <c r="G12" s="35">
        <f t="shared" si="1"/>
        <v>158.08000000000001</v>
      </c>
    </row>
    <row r="13" spans="1:7" x14ac:dyDescent="0.25">
      <c r="A13" s="166"/>
      <c r="B13" s="169"/>
      <c r="C13" s="37" t="s">
        <v>28</v>
      </c>
      <c r="D13" s="38" t="s">
        <v>63</v>
      </c>
      <c r="E13" s="38" t="s">
        <v>63</v>
      </c>
      <c r="F13" s="38" t="s">
        <v>63</v>
      </c>
      <c r="G13" s="39">
        <f>SUM(G4:G12)</f>
        <v>3030.048632</v>
      </c>
    </row>
    <row r="14" spans="1:7" ht="14.45" customHeight="1" x14ac:dyDescent="0.25">
      <c r="A14" s="164">
        <v>2</v>
      </c>
      <c r="B14" s="167" t="s">
        <v>14</v>
      </c>
      <c r="C14" s="34" t="s">
        <v>60</v>
      </c>
      <c r="D14" s="57">
        <v>1</v>
      </c>
      <c r="E14" s="35">
        <v>812</v>
      </c>
      <c r="F14" s="35">
        <f>E14*1.04</f>
        <v>844.48</v>
      </c>
      <c r="G14" s="35">
        <f>D14*F14</f>
        <v>844.48</v>
      </c>
    </row>
    <row r="15" spans="1:7" x14ac:dyDescent="0.25">
      <c r="A15" s="165"/>
      <c r="B15" s="168"/>
      <c r="C15" s="34" t="s">
        <v>93</v>
      </c>
      <c r="D15" s="57">
        <v>1</v>
      </c>
      <c r="E15" s="35">
        <v>170</v>
      </c>
      <c r="F15" s="35">
        <f t="shared" ref="F15:F18" si="2">E15*1.04</f>
        <v>176.8</v>
      </c>
      <c r="G15" s="35">
        <f t="shared" ref="G15:G17" si="3">D15*F15</f>
        <v>176.8</v>
      </c>
    </row>
    <row r="16" spans="1:7" x14ac:dyDescent="0.25">
      <c r="A16" s="165"/>
      <c r="B16" s="168"/>
      <c r="C16" s="34" t="s">
        <v>94</v>
      </c>
      <c r="D16" s="57">
        <v>1</v>
      </c>
      <c r="E16" s="35">
        <v>170</v>
      </c>
      <c r="F16" s="35">
        <f>E16*1.04</f>
        <v>176.8</v>
      </c>
      <c r="G16" s="35">
        <f>D16*F16</f>
        <v>176.8</v>
      </c>
    </row>
    <row r="17" spans="1:7" ht="25.5" x14ac:dyDescent="0.25">
      <c r="A17" s="165"/>
      <c r="B17" s="168"/>
      <c r="C17" s="34" t="s">
        <v>97</v>
      </c>
      <c r="D17" s="57">
        <v>12</v>
      </c>
      <c r="E17" s="35">
        <v>35.590000000000003</v>
      </c>
      <c r="F17" s="35">
        <f t="shared" si="2"/>
        <v>37.013600000000004</v>
      </c>
      <c r="G17" s="35">
        <f t="shared" si="3"/>
        <v>444.16320000000007</v>
      </c>
    </row>
    <row r="18" spans="1:7" x14ac:dyDescent="0.25">
      <c r="A18" s="165"/>
      <c r="B18" s="168"/>
      <c r="C18" s="40" t="s">
        <v>95</v>
      </c>
      <c r="D18" s="41">
        <v>1</v>
      </c>
      <c r="E18" s="65">
        <v>122.03</v>
      </c>
      <c r="F18" s="35">
        <f t="shared" si="2"/>
        <v>126.91120000000001</v>
      </c>
      <c r="G18" s="35">
        <f>D18*F18</f>
        <v>126.91120000000001</v>
      </c>
    </row>
    <row r="19" spans="1:7" x14ac:dyDescent="0.25">
      <c r="A19" s="165"/>
      <c r="B19" s="168"/>
      <c r="C19" s="34" t="s">
        <v>96</v>
      </c>
      <c r="D19" s="57">
        <v>1</v>
      </c>
      <c r="E19" s="35">
        <v>67.5</v>
      </c>
      <c r="F19" s="35">
        <f>E19*1.04</f>
        <v>70.2</v>
      </c>
      <c r="G19" s="35">
        <f>D19*F19</f>
        <v>70.2</v>
      </c>
    </row>
    <row r="20" spans="1:7" x14ac:dyDescent="0.25">
      <c r="A20" s="165"/>
      <c r="B20" s="168"/>
      <c r="C20" s="42" t="s">
        <v>62</v>
      </c>
      <c r="D20" s="43"/>
      <c r="E20" s="44"/>
      <c r="F20" s="35"/>
      <c r="G20" s="35"/>
    </row>
    <row r="21" spans="1:7" x14ac:dyDescent="0.25">
      <c r="A21" s="165"/>
      <c r="B21" s="168"/>
      <c r="C21" s="46" t="s">
        <v>66</v>
      </c>
      <c r="D21" s="45">
        <v>0.75</v>
      </c>
      <c r="E21" s="66">
        <v>1173.73</v>
      </c>
      <c r="F21" s="35">
        <f>E21*1.04</f>
        <v>1220.6792</v>
      </c>
      <c r="G21" s="35">
        <f t="shared" ref="G21" si="4">D21*F21</f>
        <v>915.50940000000003</v>
      </c>
    </row>
    <row r="22" spans="1:7" ht="25.5" x14ac:dyDescent="0.25">
      <c r="A22" s="165"/>
      <c r="B22" s="168"/>
      <c r="C22" s="36" t="s">
        <v>70</v>
      </c>
      <c r="D22" s="57">
        <v>0.5</v>
      </c>
      <c r="E22" s="35">
        <v>505</v>
      </c>
      <c r="F22" s="35">
        <f t="shared" ref="F22:F23" si="5">E22*1.04</f>
        <v>525.20000000000005</v>
      </c>
      <c r="G22" s="35">
        <f>D22*F22</f>
        <v>262.60000000000002</v>
      </c>
    </row>
    <row r="23" spans="1:7" x14ac:dyDescent="0.25">
      <c r="A23" s="165"/>
      <c r="B23" s="168"/>
      <c r="C23" s="36" t="s">
        <v>67</v>
      </c>
      <c r="D23" s="57">
        <v>0.33</v>
      </c>
      <c r="E23" s="35">
        <v>295.76</v>
      </c>
      <c r="F23" s="35">
        <f t="shared" si="5"/>
        <v>307.59039999999999</v>
      </c>
      <c r="G23" s="35">
        <f t="shared" ref="G23" si="6">D23*F23</f>
        <v>101.50483200000001</v>
      </c>
    </row>
    <row r="24" spans="1:7" x14ac:dyDescent="0.25">
      <c r="A24" s="165"/>
      <c r="B24" s="168"/>
      <c r="C24" s="34" t="s">
        <v>68</v>
      </c>
      <c r="D24" s="57">
        <v>4</v>
      </c>
      <c r="E24" s="35">
        <v>38</v>
      </c>
      <c r="F24" s="35">
        <f>E24*1.04</f>
        <v>39.520000000000003</v>
      </c>
      <c r="G24" s="35">
        <f>D24*F24</f>
        <v>158.08000000000001</v>
      </c>
    </row>
    <row r="25" spans="1:7" x14ac:dyDescent="0.25">
      <c r="A25" s="166"/>
      <c r="B25" s="169"/>
      <c r="C25" s="37" t="s">
        <v>28</v>
      </c>
      <c r="D25" s="38" t="s">
        <v>63</v>
      </c>
      <c r="E25" s="38" t="s">
        <v>63</v>
      </c>
      <c r="F25" s="38" t="s">
        <v>63</v>
      </c>
      <c r="G25" s="39">
        <f>SUM(G14:G24)</f>
        <v>3277.048632</v>
      </c>
    </row>
    <row r="26" spans="1:7" x14ac:dyDescent="0.25">
      <c r="A26" s="164">
        <v>3</v>
      </c>
      <c r="B26" s="167" t="s">
        <v>29</v>
      </c>
      <c r="C26" s="34" t="s">
        <v>60</v>
      </c>
      <c r="D26" s="57">
        <v>1</v>
      </c>
      <c r="E26" s="35">
        <v>812</v>
      </c>
      <c r="F26" s="35">
        <f>E26*1.04</f>
        <v>844.48</v>
      </c>
      <c r="G26" s="35">
        <f>D26*F26</f>
        <v>844.48</v>
      </c>
    </row>
    <row r="27" spans="1:7" x14ac:dyDescent="0.25">
      <c r="A27" s="165"/>
      <c r="B27" s="168"/>
      <c r="C27" s="34" t="s">
        <v>93</v>
      </c>
      <c r="D27" s="57">
        <v>1</v>
      </c>
      <c r="E27" s="35">
        <v>170</v>
      </c>
      <c r="F27" s="35">
        <f t="shared" ref="F27" si="7">E27*1.04</f>
        <v>176.8</v>
      </c>
      <c r="G27" s="35">
        <f t="shared" ref="G27" si="8">D27*F27</f>
        <v>176.8</v>
      </c>
    </row>
    <row r="28" spans="1:7" ht="25.5" x14ac:dyDescent="0.25">
      <c r="A28" s="165"/>
      <c r="B28" s="168"/>
      <c r="C28" s="34" t="s">
        <v>97</v>
      </c>
      <c r="D28" s="57">
        <v>12</v>
      </c>
      <c r="E28" s="35">
        <v>35.590000000000003</v>
      </c>
      <c r="F28" s="35">
        <f t="shared" ref="F28:F29" si="9">E28*1.04</f>
        <v>37.013600000000004</v>
      </c>
      <c r="G28" s="35">
        <f t="shared" ref="G28" si="10">D28*F28</f>
        <v>444.16320000000007</v>
      </c>
    </row>
    <row r="29" spans="1:7" x14ac:dyDescent="0.25">
      <c r="A29" s="165"/>
      <c r="B29" s="168"/>
      <c r="C29" s="40" t="s">
        <v>101</v>
      </c>
      <c r="D29" s="41">
        <v>24</v>
      </c>
      <c r="E29" s="65">
        <v>7</v>
      </c>
      <c r="F29" s="35">
        <f t="shared" si="9"/>
        <v>7.28</v>
      </c>
      <c r="G29" s="35">
        <f>D29*F29</f>
        <v>174.72</v>
      </c>
    </row>
    <row r="30" spans="1:7" x14ac:dyDescent="0.25">
      <c r="A30" s="165"/>
      <c r="B30" s="168"/>
      <c r="C30" s="42" t="s">
        <v>62</v>
      </c>
      <c r="D30" s="43"/>
      <c r="E30" s="44"/>
      <c r="F30" s="35"/>
      <c r="G30" s="35"/>
    </row>
    <row r="31" spans="1:7" x14ac:dyDescent="0.25">
      <c r="A31" s="165"/>
      <c r="B31" s="168"/>
      <c r="C31" s="46" t="s">
        <v>66</v>
      </c>
      <c r="D31" s="45">
        <v>0.75</v>
      </c>
      <c r="E31" s="66">
        <v>1173.73</v>
      </c>
      <c r="F31" s="35">
        <f>E31*1.04</f>
        <v>1220.6792</v>
      </c>
      <c r="G31" s="35">
        <f t="shared" ref="G31" si="11">D31*F31</f>
        <v>915.50940000000003</v>
      </c>
    </row>
    <row r="32" spans="1:7" ht="25.5" x14ac:dyDescent="0.25">
      <c r="A32" s="165"/>
      <c r="B32" s="168"/>
      <c r="C32" s="36" t="s">
        <v>70</v>
      </c>
      <c r="D32" s="57">
        <v>0.5</v>
      </c>
      <c r="E32" s="35">
        <v>505</v>
      </c>
      <c r="F32" s="35">
        <f t="shared" ref="F32:F33" si="12">E32*1.04</f>
        <v>525.20000000000005</v>
      </c>
      <c r="G32" s="35">
        <f>D32*F32</f>
        <v>262.60000000000002</v>
      </c>
    </row>
    <row r="33" spans="1:7" x14ac:dyDescent="0.25">
      <c r="A33" s="165"/>
      <c r="B33" s="168"/>
      <c r="C33" s="36" t="s">
        <v>67</v>
      </c>
      <c r="D33" s="57">
        <v>0.33</v>
      </c>
      <c r="E33" s="35">
        <v>295.76</v>
      </c>
      <c r="F33" s="35">
        <f t="shared" si="12"/>
        <v>307.59039999999999</v>
      </c>
      <c r="G33" s="35">
        <f t="shared" ref="G33" si="13">D33*F33</f>
        <v>101.50483200000001</v>
      </c>
    </row>
    <row r="34" spans="1:7" x14ac:dyDescent="0.25">
      <c r="A34" s="165"/>
      <c r="B34" s="168"/>
      <c r="C34" s="34" t="s">
        <v>68</v>
      </c>
      <c r="D34" s="57">
        <v>4</v>
      </c>
      <c r="E34" s="35">
        <v>38</v>
      </c>
      <c r="F34" s="35">
        <f>E34*1.04</f>
        <v>39.520000000000003</v>
      </c>
      <c r="G34" s="35">
        <f>D34*F34</f>
        <v>158.08000000000001</v>
      </c>
    </row>
    <row r="35" spans="1:7" x14ac:dyDescent="0.25">
      <c r="A35" s="166"/>
      <c r="B35" s="169"/>
      <c r="C35" s="37" t="s">
        <v>28</v>
      </c>
      <c r="D35" s="38" t="s">
        <v>63</v>
      </c>
      <c r="E35" s="38" t="s">
        <v>63</v>
      </c>
      <c r="F35" s="38" t="s">
        <v>63</v>
      </c>
      <c r="G35" s="39">
        <f>SUM(G26:G34)</f>
        <v>3077.8574320000002</v>
      </c>
    </row>
    <row r="36" spans="1:7" x14ac:dyDescent="0.25">
      <c r="A36" s="170">
        <v>4</v>
      </c>
      <c r="B36" s="171" t="s">
        <v>30</v>
      </c>
      <c r="C36" s="34" t="s">
        <v>60</v>
      </c>
      <c r="D36" s="57">
        <v>1</v>
      </c>
      <c r="E36" s="35">
        <v>812</v>
      </c>
      <c r="F36" s="35">
        <f>E36*1.04</f>
        <v>844.48</v>
      </c>
      <c r="G36" s="35">
        <f>D36*F36</f>
        <v>844.48</v>
      </c>
    </row>
    <row r="37" spans="1:7" x14ac:dyDescent="0.25">
      <c r="A37" s="170"/>
      <c r="B37" s="171"/>
      <c r="C37" s="34" t="s">
        <v>93</v>
      </c>
      <c r="D37" s="57">
        <v>1</v>
      </c>
      <c r="E37" s="35">
        <v>170</v>
      </c>
      <c r="F37" s="35">
        <f t="shared" ref="F37" si="14">E37*1.04</f>
        <v>176.8</v>
      </c>
      <c r="G37" s="35">
        <f t="shared" ref="G37" si="15">D37*F37</f>
        <v>176.8</v>
      </c>
    </row>
    <row r="38" spans="1:7" ht="25.5" x14ac:dyDescent="0.25">
      <c r="A38" s="170"/>
      <c r="B38" s="171"/>
      <c r="C38" s="34" t="s">
        <v>97</v>
      </c>
      <c r="D38" s="57">
        <v>12</v>
      </c>
      <c r="E38" s="35">
        <v>35.590000000000003</v>
      </c>
      <c r="F38" s="35">
        <f t="shared" ref="F38:F39" si="16">E38*1.04</f>
        <v>37.013600000000004</v>
      </c>
      <c r="G38" s="35">
        <f t="shared" ref="G38:G39" si="17">D38*F38</f>
        <v>444.16320000000007</v>
      </c>
    </row>
    <row r="39" spans="1:7" x14ac:dyDescent="0.25">
      <c r="A39" s="170"/>
      <c r="B39" s="171"/>
      <c r="C39" s="40" t="s">
        <v>103</v>
      </c>
      <c r="D39" s="41">
        <v>1</v>
      </c>
      <c r="E39" s="65">
        <v>73</v>
      </c>
      <c r="F39" s="35">
        <f t="shared" si="16"/>
        <v>75.92</v>
      </c>
      <c r="G39" s="35">
        <f t="shared" si="17"/>
        <v>75.92</v>
      </c>
    </row>
    <row r="40" spans="1:7" x14ac:dyDescent="0.25">
      <c r="A40" s="170"/>
      <c r="B40" s="171"/>
      <c r="C40" s="34" t="s">
        <v>96</v>
      </c>
      <c r="D40" s="57">
        <v>1</v>
      </c>
      <c r="E40" s="35">
        <v>67.5</v>
      </c>
      <c r="F40" s="35">
        <f>E40*1.04</f>
        <v>70.2</v>
      </c>
      <c r="G40" s="35">
        <f>D40*F40</f>
        <v>70.2</v>
      </c>
    </row>
    <row r="41" spans="1:7" x14ac:dyDescent="0.25">
      <c r="A41" s="170"/>
      <c r="B41" s="171"/>
      <c r="C41" s="101" t="s">
        <v>104</v>
      </c>
      <c r="D41" s="57">
        <v>1</v>
      </c>
      <c r="E41" s="35">
        <v>52</v>
      </c>
      <c r="F41" s="35">
        <f t="shared" ref="F41:F43" si="18">E41*1.04</f>
        <v>54.08</v>
      </c>
      <c r="G41" s="35">
        <f t="shared" ref="G41:G43" si="19">D41*F41</f>
        <v>54.08</v>
      </c>
    </row>
    <row r="42" spans="1:7" x14ac:dyDescent="0.25">
      <c r="A42" s="170"/>
      <c r="B42" s="171"/>
      <c r="C42" s="101" t="s">
        <v>105</v>
      </c>
      <c r="D42" s="57">
        <v>1</v>
      </c>
      <c r="E42" s="35">
        <v>180</v>
      </c>
      <c r="F42" s="35">
        <f t="shared" si="18"/>
        <v>187.20000000000002</v>
      </c>
      <c r="G42" s="35">
        <f t="shared" si="19"/>
        <v>187.20000000000002</v>
      </c>
    </row>
    <row r="43" spans="1:7" x14ac:dyDescent="0.25">
      <c r="A43" s="170"/>
      <c r="B43" s="171"/>
      <c r="C43" s="101" t="s">
        <v>106</v>
      </c>
      <c r="D43" s="57">
        <v>1</v>
      </c>
      <c r="E43" s="35">
        <v>290</v>
      </c>
      <c r="F43" s="35">
        <f t="shared" si="18"/>
        <v>301.60000000000002</v>
      </c>
      <c r="G43" s="35">
        <f t="shared" si="19"/>
        <v>301.60000000000002</v>
      </c>
    </row>
    <row r="44" spans="1:7" x14ac:dyDescent="0.25">
      <c r="A44" s="170"/>
      <c r="B44" s="171"/>
      <c r="C44" s="42" t="s">
        <v>62</v>
      </c>
      <c r="D44" s="102"/>
      <c r="E44" s="103"/>
      <c r="F44" s="35"/>
      <c r="G44" s="35"/>
    </row>
    <row r="45" spans="1:7" x14ac:dyDescent="0.25">
      <c r="A45" s="170"/>
      <c r="B45" s="171"/>
      <c r="C45" s="46" t="s">
        <v>66</v>
      </c>
      <c r="D45" s="45">
        <v>0.75</v>
      </c>
      <c r="E45" s="66">
        <v>1173.73</v>
      </c>
      <c r="F45" s="35">
        <f>E45*1.04</f>
        <v>1220.6792</v>
      </c>
      <c r="G45" s="35">
        <f t="shared" ref="G45" si="20">D45*F45</f>
        <v>915.50940000000003</v>
      </c>
    </row>
    <row r="46" spans="1:7" ht="25.5" x14ac:dyDescent="0.25">
      <c r="A46" s="170"/>
      <c r="B46" s="171"/>
      <c r="C46" s="36" t="s">
        <v>70</v>
      </c>
      <c r="D46" s="57">
        <v>0.5</v>
      </c>
      <c r="E46" s="35">
        <v>505</v>
      </c>
      <c r="F46" s="35">
        <f t="shared" ref="F46:F47" si="21">E46*1.04</f>
        <v>525.20000000000005</v>
      </c>
      <c r="G46" s="35">
        <f>D46*F46</f>
        <v>262.60000000000002</v>
      </c>
    </row>
    <row r="47" spans="1:7" x14ac:dyDescent="0.25">
      <c r="A47" s="170"/>
      <c r="B47" s="171"/>
      <c r="C47" s="36" t="s">
        <v>67</v>
      </c>
      <c r="D47" s="57">
        <v>0.33</v>
      </c>
      <c r="E47" s="35">
        <v>295.76</v>
      </c>
      <c r="F47" s="35">
        <f t="shared" si="21"/>
        <v>307.59039999999999</v>
      </c>
      <c r="G47" s="35">
        <f t="shared" ref="G47" si="22">D47*F47</f>
        <v>101.50483200000001</v>
      </c>
    </row>
    <row r="48" spans="1:7" x14ac:dyDescent="0.25">
      <c r="A48" s="170"/>
      <c r="B48" s="171"/>
      <c r="C48" s="34" t="s">
        <v>68</v>
      </c>
      <c r="D48" s="57">
        <v>4</v>
      </c>
      <c r="E48" s="35">
        <v>38</v>
      </c>
      <c r="F48" s="35">
        <f>E48*1.04</f>
        <v>39.520000000000003</v>
      </c>
      <c r="G48" s="35">
        <f>D48*F48</f>
        <v>158.08000000000001</v>
      </c>
    </row>
    <row r="49" spans="1:7" x14ac:dyDescent="0.25">
      <c r="A49" s="170"/>
      <c r="B49" s="171"/>
      <c r="C49" s="37" t="s">
        <v>28</v>
      </c>
      <c r="D49" s="38" t="s">
        <v>63</v>
      </c>
      <c r="E49" s="38" t="s">
        <v>63</v>
      </c>
      <c r="F49" s="38" t="s">
        <v>63</v>
      </c>
      <c r="G49" s="39">
        <f>SUM(G36:G48)</f>
        <v>3592.137432</v>
      </c>
    </row>
  </sheetData>
  <mergeCells count="9">
    <mergeCell ref="A26:A35"/>
    <mergeCell ref="B26:B35"/>
    <mergeCell ref="A36:A49"/>
    <mergeCell ref="B36:B49"/>
    <mergeCell ref="A1:G1"/>
    <mergeCell ref="A4:A13"/>
    <mergeCell ref="B4:B13"/>
    <mergeCell ref="A14:A25"/>
    <mergeCell ref="B14:B25"/>
  </mergeCells>
  <pageMargins left="0.7" right="0.7" top="0.75" bottom="0.75" header="0.3" footer="0.3"/>
  <pageSetup paperSize="9" scale="90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G37"/>
  <sheetViews>
    <sheetView zoomScaleNormal="100" workbookViewId="0">
      <selection activeCell="A6" sqref="A6"/>
    </sheetView>
  </sheetViews>
  <sheetFormatPr defaultColWidth="9.140625" defaultRowHeight="15" outlineLevelCol="1" x14ac:dyDescent="0.25"/>
  <cols>
    <col min="1" max="1" width="101.7109375" style="1" customWidth="1"/>
    <col min="2" max="2" width="14.5703125" style="1" hidden="1" customWidth="1" outlineLevel="1"/>
    <col min="3" max="3" width="14.85546875" style="1" hidden="1" customWidth="1" outlineLevel="1"/>
    <col min="4" max="8" width="14.85546875" style="7" hidden="1" customWidth="1" outlineLevel="1"/>
    <col min="9" max="10" width="16.28515625" style="7" hidden="1" customWidth="1" outlineLevel="1"/>
    <col min="11" max="11" width="16.42578125" style="7" hidden="1" customWidth="1" outlineLevel="1"/>
    <col min="12" max="12" width="14.85546875" style="7" hidden="1" customWidth="1" outlineLevel="1"/>
    <col min="13" max="13" width="23.7109375" style="7" hidden="1" customWidth="1" outlineLevel="1" collapsed="1"/>
    <col min="14" max="14" width="27" style="1" hidden="1" customWidth="1" outlineLevel="1"/>
    <col min="15" max="15" width="10.42578125" style="81" hidden="1" customWidth="1" outlineLevel="1"/>
    <col min="16" max="16" width="21.5703125" style="82" customWidth="1" collapsed="1"/>
    <col min="17" max="17" width="22" style="1" customWidth="1"/>
    <col min="18" max="18" width="12" style="1" bestFit="1" customWidth="1"/>
    <col min="19" max="16384" width="9.140625" style="1"/>
  </cols>
  <sheetData>
    <row r="2" spans="1:16" x14ac:dyDescent="0.25">
      <c r="A2" s="155" t="s">
        <v>169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x14ac:dyDescent="0.25">
      <c r="A3" s="155" t="s">
        <v>186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7" spans="1:16" ht="18.75" x14ac:dyDescent="0.3">
      <c r="A7" s="157" t="s">
        <v>122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</row>
    <row r="8" spans="1:16" ht="18.75" x14ac:dyDescent="0.3">
      <c r="A8" s="157" t="s">
        <v>123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18.75" x14ac:dyDescent="0.3">
      <c r="A9" s="157" t="s">
        <v>157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</row>
    <row r="10" spans="1:16" ht="18.75" x14ac:dyDescent="0.3">
      <c r="A10" s="157" t="s">
        <v>159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</row>
    <row r="11" spans="1:16" ht="18.75" x14ac:dyDescent="0.3">
      <c r="A11" s="157" t="s">
        <v>178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</row>
    <row r="12" spans="1:16" ht="19.5" customHeight="1" x14ac:dyDescent="0.3">
      <c r="A12" s="157" t="s">
        <v>119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</row>
    <row r="13" spans="1:16" ht="20.25" customHeight="1" x14ac:dyDescent="0.3">
      <c r="A13" s="156" t="s">
        <v>118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</row>
    <row r="14" spans="1:16" ht="17.25" customHeight="1" x14ac:dyDescent="0.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2"/>
    </row>
    <row r="15" spans="1:16" ht="63" x14ac:dyDescent="0.25">
      <c r="A15" s="128" t="s">
        <v>116</v>
      </c>
      <c r="B15" s="128" t="s">
        <v>90</v>
      </c>
      <c r="C15" s="128" t="s">
        <v>53</v>
      </c>
      <c r="D15" s="134" t="s">
        <v>54</v>
      </c>
      <c r="E15" s="134" t="s">
        <v>26</v>
      </c>
      <c r="F15" s="134" t="s">
        <v>18</v>
      </c>
      <c r="G15" s="134" t="s">
        <v>55</v>
      </c>
      <c r="H15" s="134" t="s">
        <v>153</v>
      </c>
      <c r="I15" s="134" t="s">
        <v>52</v>
      </c>
      <c r="J15" s="134" t="s">
        <v>89</v>
      </c>
      <c r="K15" s="134" t="s">
        <v>25</v>
      </c>
      <c r="L15" s="134" t="s">
        <v>19</v>
      </c>
      <c r="M15" s="134" t="s">
        <v>50</v>
      </c>
      <c r="N15" s="128" t="s">
        <v>0</v>
      </c>
      <c r="O15" s="128" t="s">
        <v>91</v>
      </c>
      <c r="P15" s="135" t="s">
        <v>36</v>
      </c>
    </row>
    <row r="16" spans="1:16" s="78" customFormat="1" ht="19.899999999999999" customHeight="1" x14ac:dyDescent="0.25">
      <c r="A16" s="118" t="s">
        <v>120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48">
        <f>P17+P18+P19+P20+P21+P22+P23+P24+P25</f>
        <v>7.0141831219145976</v>
      </c>
    </row>
    <row r="17" spans="1:33" ht="19.899999999999999" customHeight="1" x14ac:dyDescent="0.25">
      <c r="A17" s="108" t="s">
        <v>132</v>
      </c>
      <c r="B17" s="108">
        <v>0.39</v>
      </c>
      <c r="C17" s="109">
        <f>ЗП!M11</f>
        <v>155.61502538071065</v>
      </c>
      <c r="D17" s="126">
        <f>B17*C17</f>
        <v>60.689859898477152</v>
      </c>
      <c r="E17" s="126">
        <f t="shared" ref="E17:E24" si="0">D17*0.302</f>
        <v>18.328337689340099</v>
      </c>
      <c r="F17" s="109">
        <v>0</v>
      </c>
      <c r="G17" s="109">
        <f>'Спец одежда'!G35</f>
        <v>3077.8574320000002</v>
      </c>
      <c r="H17" s="126">
        <f>D17*0.4429</f>
        <v>26.879538949035531</v>
      </c>
      <c r="I17" s="126">
        <f t="shared" ref="I17:I24" si="1">(D17+E17+F17+G17)*0.964</f>
        <v>3043.228106922656</v>
      </c>
      <c r="J17" s="126">
        <f t="shared" ref="J17:J24" si="2">D17+E17+F17+G17+H17+I17</f>
        <v>6226.9832754595091</v>
      </c>
      <c r="K17" s="126">
        <f t="shared" ref="K17:K24" si="3">J17*0.1</f>
        <v>622.69832754595097</v>
      </c>
      <c r="L17" s="126">
        <f t="shared" ref="L17:L24" si="4">(J17+K17)*0.18</f>
        <v>1232.9426885409828</v>
      </c>
      <c r="M17" s="122" t="s">
        <v>32</v>
      </c>
      <c r="N17" s="122">
        <f t="shared" ref="N17:N19" si="5">J17+K17+L17</f>
        <v>8082.6242915464427</v>
      </c>
      <c r="O17" s="129">
        <f t="shared" ref="O17:O19" si="6">N17/12</f>
        <v>673.55202429553685</v>
      </c>
      <c r="P17" s="153">
        <v>0.36496551879348071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ht="19.899999999999999" customHeight="1" x14ac:dyDescent="0.25">
      <c r="A18" s="108" t="s">
        <v>131</v>
      </c>
      <c r="B18" s="108">
        <v>3.11</v>
      </c>
      <c r="C18" s="109">
        <f>ЗП!M11</f>
        <v>155.61502538071065</v>
      </c>
      <c r="D18" s="126">
        <f>B18*C18</f>
        <v>483.9627289340101</v>
      </c>
      <c r="E18" s="126">
        <f t="shared" si="0"/>
        <v>146.15674413807105</v>
      </c>
      <c r="F18" s="109">
        <v>0</v>
      </c>
      <c r="G18" s="109">
        <f>'Спец одежда'!G35</f>
        <v>3077.8574320000002</v>
      </c>
      <c r="H18" s="126">
        <f t="shared" ref="H18:H19" si="7">D18*0.4429</f>
        <v>214.34709264487307</v>
      </c>
      <c r="I18" s="126">
        <f t="shared" si="1"/>
        <v>3574.4897364894864</v>
      </c>
      <c r="J18" s="126">
        <f t="shared" si="2"/>
        <v>7496.813734206441</v>
      </c>
      <c r="K18" s="126">
        <f t="shared" si="3"/>
        <v>749.68137342064415</v>
      </c>
      <c r="L18" s="126">
        <f t="shared" si="4"/>
        <v>1484.369119372875</v>
      </c>
      <c r="M18" s="122"/>
      <c r="N18" s="122">
        <f t="shared" si="5"/>
        <v>9730.86422699996</v>
      </c>
      <c r="O18" s="129">
        <f t="shared" si="6"/>
        <v>810.90535224999667</v>
      </c>
      <c r="P18" s="153">
        <v>0.43939069574598166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ht="19.899999999999999" customHeight="1" x14ac:dyDescent="0.25">
      <c r="A19" s="108" t="s">
        <v>130</v>
      </c>
      <c r="B19" s="138">
        <v>4</v>
      </c>
      <c r="C19" s="109">
        <f>ЗП!M10</f>
        <v>154.61664974619285</v>
      </c>
      <c r="D19" s="126">
        <f>B19*C19</f>
        <v>618.46659898477139</v>
      </c>
      <c r="E19" s="126">
        <f t="shared" si="0"/>
        <v>186.77691289340095</v>
      </c>
      <c r="F19" s="109">
        <v>0</v>
      </c>
      <c r="G19" s="109">
        <f>'Спец одежда'!G35</f>
        <v>3077.8574320000002</v>
      </c>
      <c r="H19" s="126">
        <f t="shared" si="7"/>
        <v>273.91885669035526</v>
      </c>
      <c r="I19" s="126">
        <f t="shared" si="1"/>
        <v>3743.3093098985582</v>
      </c>
      <c r="J19" s="126">
        <f t="shared" si="2"/>
        <v>7900.3291104670861</v>
      </c>
      <c r="K19" s="126">
        <f t="shared" si="3"/>
        <v>790.0329110467087</v>
      </c>
      <c r="L19" s="126">
        <f t="shared" si="4"/>
        <v>1564.2651638724828</v>
      </c>
      <c r="M19" s="122" t="s">
        <v>32</v>
      </c>
      <c r="N19" s="122">
        <f t="shared" si="5"/>
        <v>10254.627185386278</v>
      </c>
      <c r="O19" s="129">
        <f t="shared" si="6"/>
        <v>854.55226544885647</v>
      </c>
      <c r="P19" s="153">
        <v>0.46304086343127149</v>
      </c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3" s="78" customFormat="1" ht="19.899999999999999" customHeight="1" x14ac:dyDescent="0.25">
      <c r="A20" s="120" t="s">
        <v>129</v>
      </c>
      <c r="B20" s="108">
        <v>7.54</v>
      </c>
      <c r="C20" s="109">
        <f>ЗП!M9</f>
        <v>155.61502538071065</v>
      </c>
      <c r="D20" s="109">
        <f>B20*C20</f>
        <v>1173.3372913705582</v>
      </c>
      <c r="E20" s="109">
        <f t="shared" si="0"/>
        <v>354.34786199390857</v>
      </c>
      <c r="F20" s="109">
        <v>0</v>
      </c>
      <c r="G20" s="109">
        <f>'Спец одежда'!G25</f>
        <v>3277.048632</v>
      </c>
      <c r="H20" s="126">
        <f>D20*0.4429</f>
        <v>519.67108634802025</v>
      </c>
      <c r="I20" s="126">
        <f t="shared" si="1"/>
        <v>4631.7633690913453</v>
      </c>
      <c r="J20" s="126">
        <f t="shared" si="2"/>
        <v>9956.1682408038323</v>
      </c>
      <c r="K20" s="126">
        <f t="shared" si="3"/>
        <v>995.61682408038325</v>
      </c>
      <c r="L20" s="126">
        <f t="shared" si="4"/>
        <v>1971.3213116791587</v>
      </c>
      <c r="M20" s="126" t="s">
        <v>33</v>
      </c>
      <c r="N20" s="122">
        <f>J20+K20+L20</f>
        <v>12923.106376563375</v>
      </c>
      <c r="O20" s="129">
        <f>N20/12</f>
        <v>1076.9255313802812</v>
      </c>
      <c r="P20" s="153">
        <v>0.58353426474106085</v>
      </c>
    </row>
    <row r="21" spans="1:33" s="78" customFormat="1" ht="39" customHeight="1" x14ac:dyDescent="0.25">
      <c r="A21" s="108" t="s">
        <v>146</v>
      </c>
      <c r="B21" s="108">
        <v>31.8</v>
      </c>
      <c r="C21" s="109">
        <f>ЗП!M9</f>
        <v>155.61502538071065</v>
      </c>
      <c r="D21" s="109">
        <f>B21*C21</f>
        <v>4948.5578071065984</v>
      </c>
      <c r="E21" s="109">
        <f t="shared" si="0"/>
        <v>1494.4644577461927</v>
      </c>
      <c r="F21" s="109">
        <v>0</v>
      </c>
      <c r="G21" s="109">
        <f>'Спец одежда'!G25</f>
        <v>3277.048632</v>
      </c>
      <c r="H21" s="126">
        <f>D21*0.4429</f>
        <v>2191.7162527675123</v>
      </c>
      <c r="I21" s="126">
        <f t="shared" si="1"/>
        <v>9370.1483445660906</v>
      </c>
      <c r="J21" s="126">
        <f t="shared" si="2"/>
        <v>21281.935494186393</v>
      </c>
      <c r="K21" s="126">
        <f t="shared" si="3"/>
        <v>2128.1935494186396</v>
      </c>
      <c r="L21" s="126">
        <f t="shared" si="4"/>
        <v>4213.8232278489058</v>
      </c>
      <c r="M21" s="122" t="s">
        <v>43</v>
      </c>
      <c r="N21" s="122">
        <f>J21+K21+L21</f>
        <v>27623.952271453938</v>
      </c>
      <c r="O21" s="129">
        <f>N21/12</f>
        <v>2301.9960226211615</v>
      </c>
      <c r="P21" s="153">
        <v>1.2473411738835871</v>
      </c>
    </row>
    <row r="22" spans="1:33" ht="19.899999999999999" customHeight="1" x14ac:dyDescent="0.25">
      <c r="A22" s="130" t="s">
        <v>128</v>
      </c>
      <c r="B22" s="108">
        <v>19.86</v>
      </c>
      <c r="C22" s="109">
        <f>ЗП!M9</f>
        <v>155.61502538071065</v>
      </c>
      <c r="D22" s="109">
        <f>B22*C22*2</f>
        <v>6181.0288081218268</v>
      </c>
      <c r="E22" s="109">
        <f t="shared" si="0"/>
        <v>1866.6707000527917</v>
      </c>
      <c r="F22" s="109">
        <f>'Материалы, инвентарь'!E33</f>
        <v>1356.24</v>
      </c>
      <c r="G22" s="109">
        <f>'Спец одежда'!G25</f>
        <v>3277.048632</v>
      </c>
      <c r="H22" s="126">
        <f t="shared" ref="H22:H23" si="8">D22*0.4429</f>
        <v>2737.5776591171571</v>
      </c>
      <c r="I22" s="126">
        <f t="shared" si="1"/>
        <v>12224.472567128332</v>
      </c>
      <c r="J22" s="126">
        <f t="shared" si="2"/>
        <v>27643.038366420107</v>
      </c>
      <c r="K22" s="126">
        <f t="shared" si="3"/>
        <v>2764.303836642011</v>
      </c>
      <c r="L22" s="126">
        <f t="shared" si="4"/>
        <v>5473.3215965511808</v>
      </c>
      <c r="M22" s="122"/>
      <c r="N22" s="122">
        <f>J22+K22+L22</f>
        <v>35880.663799613299</v>
      </c>
      <c r="O22" s="129">
        <f>N22/12</f>
        <v>2990.0553166344416</v>
      </c>
      <c r="P22" s="151">
        <v>1.6201674859459334</v>
      </c>
    </row>
    <row r="23" spans="1:33" ht="19.899999999999999" customHeight="1" x14ac:dyDescent="0.25">
      <c r="A23" s="131" t="s">
        <v>149</v>
      </c>
      <c r="B23" s="108">
        <v>2.8</v>
      </c>
      <c r="C23" s="109">
        <f>ЗП!M9</f>
        <v>155.61502538071065</v>
      </c>
      <c r="D23" s="109">
        <f>B23*C23</f>
        <v>435.72207106598978</v>
      </c>
      <c r="E23" s="109">
        <f t="shared" si="0"/>
        <v>131.58806546192892</v>
      </c>
      <c r="F23" s="109">
        <v>0</v>
      </c>
      <c r="G23" s="109">
        <f>'Спец одежда'!G35</f>
        <v>3077.8574320000002</v>
      </c>
      <c r="H23" s="126">
        <f t="shared" si="8"/>
        <v>192.98130527512689</v>
      </c>
      <c r="I23" s="126">
        <f t="shared" si="1"/>
        <v>3513.9415360609137</v>
      </c>
      <c r="J23" s="126">
        <f t="shared" si="2"/>
        <v>7352.0904098639594</v>
      </c>
      <c r="K23" s="126">
        <f t="shared" si="3"/>
        <v>735.20904098639596</v>
      </c>
      <c r="L23" s="126">
        <f t="shared" si="4"/>
        <v>1455.7139011530639</v>
      </c>
      <c r="M23" s="122" t="s">
        <v>31</v>
      </c>
      <c r="N23" s="122">
        <f>J23+K23+L23</f>
        <v>9543.0133520034196</v>
      </c>
      <c r="O23" s="129">
        <f>N23/12</f>
        <v>795.2511126669516</v>
      </c>
      <c r="P23" s="151">
        <v>0.43090841454918921</v>
      </c>
    </row>
    <row r="24" spans="1:33" s="78" customFormat="1" ht="32.450000000000003" customHeight="1" x14ac:dyDescent="0.25">
      <c r="A24" s="108" t="s">
        <v>147</v>
      </c>
      <c r="B24" s="108">
        <f>1.98+3.76</f>
        <v>5.74</v>
      </c>
      <c r="C24" s="109">
        <f>ЗП!M9+ЗП!M12</f>
        <v>311.2300507614213</v>
      </c>
      <c r="D24" s="109">
        <f>B24*C24</f>
        <v>1786.4604913705582</v>
      </c>
      <c r="E24" s="109">
        <f t="shared" si="0"/>
        <v>539.51106839390854</v>
      </c>
      <c r="F24" s="109">
        <v>0</v>
      </c>
      <c r="G24" s="109">
        <f>'Спец одежда'!G49+'Спец одежда'!G25</f>
        <v>6869.1860639999995</v>
      </c>
      <c r="H24" s="126">
        <f>D24*0.4429</f>
        <v>791.22335162802028</v>
      </c>
      <c r="I24" s="126">
        <f t="shared" si="1"/>
        <v>8864.131949308945</v>
      </c>
      <c r="J24" s="126">
        <f t="shared" si="2"/>
        <v>18850.512924701434</v>
      </c>
      <c r="K24" s="126">
        <f t="shared" si="3"/>
        <v>1885.0512924701434</v>
      </c>
      <c r="L24" s="126">
        <f t="shared" si="4"/>
        <v>3732.4015590908839</v>
      </c>
      <c r="M24" s="122" t="s">
        <v>34</v>
      </c>
      <c r="N24" s="122">
        <f>J24+K24+L24</f>
        <v>24467.965776262463</v>
      </c>
      <c r="O24" s="129">
        <f>N24/12</f>
        <v>2038.9971480218719</v>
      </c>
      <c r="P24" s="153">
        <v>1.1048347048240934</v>
      </c>
    </row>
    <row r="25" spans="1:33" s="78" customFormat="1" ht="19.899999999999999" customHeight="1" x14ac:dyDescent="0.25">
      <c r="A25" s="110" t="s">
        <v>127</v>
      </c>
      <c r="B25" s="108"/>
      <c r="C25" s="138"/>
      <c r="D25" s="138"/>
      <c r="E25" s="138"/>
      <c r="F25" s="138"/>
      <c r="G25" s="138"/>
      <c r="H25" s="122"/>
      <c r="I25" s="122"/>
      <c r="J25" s="122"/>
      <c r="K25" s="122"/>
      <c r="L25" s="122"/>
      <c r="M25" s="126"/>
      <c r="N25" s="122"/>
      <c r="O25" s="129"/>
      <c r="P25" s="153">
        <f>P26+P27</f>
        <v>0.76</v>
      </c>
    </row>
    <row r="26" spans="1:33" s="78" customFormat="1" ht="19.899999999999999" customHeight="1" x14ac:dyDescent="0.25">
      <c r="A26" s="110" t="s">
        <v>150</v>
      </c>
      <c r="B26" s="108">
        <v>0.06</v>
      </c>
      <c r="C26" s="109">
        <f>ЗП!M9</f>
        <v>155.61502538071065</v>
      </c>
      <c r="D26" s="109">
        <f>B26*C26</f>
        <v>9.3369015228426377</v>
      </c>
      <c r="E26" s="109">
        <f>D26*0.302</f>
        <v>2.8197442598984765</v>
      </c>
      <c r="F26" s="109">
        <v>0</v>
      </c>
      <c r="G26" s="109">
        <f>'Спец одежда'!G25</f>
        <v>3277.048632</v>
      </c>
      <c r="H26" s="126">
        <f>D26*0.4429</f>
        <v>4.135313684467004</v>
      </c>
      <c r="I26" s="126">
        <f>(D26+E26+F26+G26)*0.964</f>
        <v>3170.7938877825623</v>
      </c>
      <c r="J26" s="126">
        <f>D26+E26+F26+G26+H26+I26</f>
        <v>6464.1344792497703</v>
      </c>
      <c r="K26" s="126">
        <f>J26*0.1</f>
        <v>646.41344792497705</v>
      </c>
      <c r="L26" s="126">
        <f>(J26+K26)*0.18</f>
        <v>1279.8986268914543</v>
      </c>
      <c r="M26" s="126" t="s">
        <v>144</v>
      </c>
      <c r="N26" s="122">
        <f>J26+K26+L26</f>
        <v>8390.4465540662022</v>
      </c>
      <c r="O26" s="129">
        <f>N26/12</f>
        <v>699.20387950551685</v>
      </c>
      <c r="P26" s="123">
        <v>0.38</v>
      </c>
    </row>
    <row r="27" spans="1:33" s="78" customFormat="1" ht="19.899999999999999" customHeight="1" x14ac:dyDescent="0.25">
      <c r="A27" s="110" t="s">
        <v>151</v>
      </c>
      <c r="B27" s="108">
        <v>0.06</v>
      </c>
      <c r="C27" s="109">
        <f>ЗП!M9</f>
        <v>155.61502538071065</v>
      </c>
      <c r="D27" s="109">
        <f>B27*C27</f>
        <v>9.3369015228426377</v>
      </c>
      <c r="E27" s="109">
        <f>D27*0.302</f>
        <v>2.8197442598984765</v>
      </c>
      <c r="F27" s="109">
        <v>0</v>
      </c>
      <c r="G27" s="109">
        <f>'Спец одежда'!G25</f>
        <v>3277.048632</v>
      </c>
      <c r="H27" s="126">
        <f>D27*0.4429</f>
        <v>4.135313684467004</v>
      </c>
      <c r="I27" s="126">
        <f>(D27+E27+F27+G27)*0.964</f>
        <v>3170.7938877825623</v>
      </c>
      <c r="J27" s="126">
        <f>D27+E27+F27+G27+H27+I27</f>
        <v>6464.1344792497703</v>
      </c>
      <c r="K27" s="126">
        <f>J27*0.1</f>
        <v>646.41344792497705</v>
      </c>
      <c r="L27" s="126">
        <f>(J27+K27)*0.18</f>
        <v>1279.8986268914543</v>
      </c>
      <c r="M27" s="126" t="s">
        <v>144</v>
      </c>
      <c r="N27" s="122">
        <f>J27+K27+L27</f>
        <v>8390.4465540662022</v>
      </c>
      <c r="O27" s="129">
        <f>N27/12</f>
        <v>699.20387950551685</v>
      </c>
      <c r="P27" s="123">
        <v>0.38</v>
      </c>
    </row>
    <row r="28" spans="1:33" s="78" customFormat="1" ht="19.899999999999999" customHeight="1" x14ac:dyDescent="0.25">
      <c r="A28" s="132" t="s">
        <v>121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25"/>
      <c r="N28" s="125"/>
      <c r="O28" s="125"/>
      <c r="P28" s="154">
        <f>P29+P30</f>
        <v>12.4216</v>
      </c>
    </row>
    <row r="29" spans="1:33" s="78" customFormat="1" ht="19.899999999999999" customHeight="1" x14ac:dyDescent="0.25">
      <c r="A29" s="108" t="s">
        <v>126</v>
      </c>
      <c r="B29" s="106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26"/>
      <c r="N29" s="122">
        <f>O29*12</f>
        <v>31699.199999999997</v>
      </c>
      <c r="O29" s="122">
        <f>P29*1000</f>
        <v>2641.6</v>
      </c>
      <c r="P29" s="111">
        <f>2.54*1.04</f>
        <v>2.6415999999999999</v>
      </c>
    </row>
    <row r="30" spans="1:33" s="78" customFormat="1" ht="19.899999999999999" customHeight="1" x14ac:dyDescent="0.25">
      <c r="A30" s="108" t="s">
        <v>125</v>
      </c>
      <c r="B30" s="106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26"/>
      <c r="N30" s="122">
        <f>O30*12</f>
        <v>117360</v>
      </c>
      <c r="O30" s="122">
        <f>P30*1000</f>
        <v>9780</v>
      </c>
      <c r="P30" s="111">
        <v>9.7799999999999994</v>
      </c>
    </row>
    <row r="31" spans="1:33" s="78" customFormat="1" ht="19.899999999999999" customHeight="1" x14ac:dyDescent="0.25">
      <c r="A31" s="132" t="s">
        <v>154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25"/>
      <c r="N31" s="125"/>
      <c r="O31" s="125"/>
      <c r="P31" s="152">
        <f>P32+P33</f>
        <v>0.88747845095803202</v>
      </c>
    </row>
    <row r="32" spans="1:33" s="78" customFormat="1" ht="19.899999999999999" customHeight="1" x14ac:dyDescent="0.25">
      <c r="A32" s="108" t="s">
        <v>152</v>
      </c>
      <c r="B32" s="108">
        <v>1.58</v>
      </c>
      <c r="C32" s="109">
        <f>ЗП!M10</f>
        <v>154.61664974619285</v>
      </c>
      <c r="D32" s="109">
        <f>B32*C32</f>
        <v>244.29430659898472</v>
      </c>
      <c r="E32" s="109">
        <f>D32*0.302</f>
        <v>73.776880592893377</v>
      </c>
      <c r="F32" s="109">
        <f>'Материалы, инвентарь'!E39</f>
        <v>156.1823</v>
      </c>
      <c r="G32" s="109">
        <f>'Спец одежда'!G13</f>
        <v>3030.048632</v>
      </c>
      <c r="H32" s="126">
        <f>D32*0.4429</f>
        <v>108.19794839269034</v>
      </c>
      <c r="I32" s="126">
        <f>(D32+E32+F32+G32)*0.964</f>
        <v>3378.14724290097</v>
      </c>
      <c r="J32" s="126">
        <f>D32+E32+F32+G32+H32+I32</f>
        <v>6990.6473104855377</v>
      </c>
      <c r="K32" s="126">
        <f>J32*0.1</f>
        <v>699.06473104855377</v>
      </c>
      <c r="L32" s="126">
        <f>(J32+K32)*0.18</f>
        <v>1384.1481674761365</v>
      </c>
      <c r="M32" s="126" t="s">
        <v>32</v>
      </c>
      <c r="N32" s="122">
        <f>J32+K32+L32</f>
        <v>9073.8602090102286</v>
      </c>
      <c r="O32" s="129">
        <f>N32/12</f>
        <v>756.15501741751905</v>
      </c>
      <c r="P32" s="153">
        <v>0.40972411672092263</v>
      </c>
    </row>
    <row r="33" spans="1:16" s="78" customFormat="1" ht="19.899999999999999" customHeight="1" x14ac:dyDescent="0.25">
      <c r="A33" s="108" t="s">
        <v>143</v>
      </c>
      <c r="B33" s="108">
        <v>4.3600000000000003</v>
      </c>
      <c r="C33" s="109">
        <f>ЗП!M10</f>
        <v>154.61664974619285</v>
      </c>
      <c r="D33" s="109">
        <f>B33*C33</f>
        <v>674.12859289340088</v>
      </c>
      <c r="E33" s="109">
        <f>D33*0.302</f>
        <v>203.58683505380705</v>
      </c>
      <c r="F33" s="109">
        <f>'Материалы, инвентарь'!E43</f>
        <v>90.604799999999997</v>
      </c>
      <c r="G33" s="109">
        <f>'Спец одежда'!G13</f>
        <v>3030.048632</v>
      </c>
      <c r="H33" s="126">
        <f>D33*0.4429</f>
        <v>298.57155379248724</v>
      </c>
      <c r="I33" s="126">
        <f>(D33+E33+F33+G33)*0.964</f>
        <v>3854.4275809891083</v>
      </c>
      <c r="J33" s="126">
        <f>D33+E33+F33+G33+H33+I33</f>
        <v>8151.3679947288038</v>
      </c>
      <c r="K33" s="126">
        <f>J33*0.1</f>
        <v>815.1367994728804</v>
      </c>
      <c r="L33" s="126">
        <f>(J33+K33)*0.18</f>
        <v>1613.9708629563031</v>
      </c>
      <c r="M33" s="126" t="s">
        <v>46</v>
      </c>
      <c r="N33" s="122">
        <f>J33+K33+L33</f>
        <v>10580.475657157987</v>
      </c>
      <c r="O33" s="129">
        <f>N33/12</f>
        <v>881.70630476316558</v>
      </c>
      <c r="P33" s="153">
        <v>0.47775433423710939</v>
      </c>
    </row>
    <row r="34" spans="1:16" s="78" customFormat="1" ht="19.899999999999999" customHeight="1" x14ac:dyDescent="0.25">
      <c r="A34" s="132" t="s">
        <v>155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25"/>
      <c r="N34" s="125"/>
      <c r="O34" s="125"/>
      <c r="P34" s="152">
        <f>P35</f>
        <v>0.93740397881379423</v>
      </c>
    </row>
    <row r="35" spans="1:16" s="78" customFormat="1" ht="19.899999999999999" customHeight="1" x14ac:dyDescent="0.25">
      <c r="A35" s="108" t="s">
        <v>124</v>
      </c>
      <c r="B35" s="106"/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26" t="s">
        <v>34</v>
      </c>
      <c r="N35" s="109">
        <f>P35*12*595</f>
        <v>6693.0644087304909</v>
      </c>
      <c r="O35" s="129">
        <f>P35*12*595</f>
        <v>6693.0644087304909</v>
      </c>
      <c r="P35" s="153">
        <v>0.93740397881379423</v>
      </c>
    </row>
    <row r="36" spans="1:16" ht="19.899999999999999" customHeight="1" x14ac:dyDescent="0.25">
      <c r="A36" s="106" t="s">
        <v>28</v>
      </c>
      <c r="B36" s="108"/>
      <c r="C36" s="108"/>
      <c r="D36" s="109">
        <f>SUM(D16:D35)</f>
        <v>16625.322359390859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>
        <f>SUM(N16:N35)</f>
        <v>330694.31066286028</v>
      </c>
      <c r="O36" s="129">
        <f>P36*12*595</f>
        <v>151801.15203904104</v>
      </c>
      <c r="P36" s="112">
        <f>P16+P28+P31+P34</f>
        <v>21.260665551686422</v>
      </c>
    </row>
    <row r="37" spans="1:16" x14ac:dyDescent="0.25">
      <c r="N37" s="79"/>
      <c r="O37" s="80"/>
      <c r="P37" s="107"/>
    </row>
  </sheetData>
  <mergeCells count="9">
    <mergeCell ref="A2:P2"/>
    <mergeCell ref="A3:P3"/>
    <mergeCell ref="A13:P13"/>
    <mergeCell ref="A12:P12"/>
    <mergeCell ref="A7:P7"/>
    <mergeCell ref="A8:P8"/>
    <mergeCell ref="A9:P9"/>
    <mergeCell ref="A10:P10"/>
    <mergeCell ref="A11:P11"/>
  </mergeCells>
  <pageMargins left="0.7" right="0.7" top="0.75" bottom="0.75" header="0.3" footer="0.3"/>
  <pageSetup paperSize="9" scale="7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G123"/>
  <sheetViews>
    <sheetView zoomScaleNormal="100" workbookViewId="0">
      <selection activeCell="A7" sqref="A7:T7"/>
    </sheetView>
  </sheetViews>
  <sheetFormatPr defaultColWidth="9.140625" defaultRowHeight="15" outlineLevelCol="1" x14ac:dyDescent="0.25"/>
  <cols>
    <col min="1" max="1" width="101.7109375" style="1" customWidth="1"/>
    <col min="2" max="2" width="14.5703125" style="1" hidden="1" customWidth="1" outlineLevel="1"/>
    <col min="3" max="3" width="14.85546875" style="1" hidden="1" customWidth="1" outlineLevel="1"/>
    <col min="4" max="8" width="14.85546875" style="7" hidden="1" customWidth="1" outlineLevel="1"/>
    <col min="9" max="10" width="16.28515625" style="7" hidden="1" customWidth="1" outlineLevel="1"/>
    <col min="11" max="11" width="16.42578125" style="7" hidden="1" customWidth="1" outlineLevel="1"/>
    <col min="12" max="12" width="14.85546875" style="7" hidden="1" customWidth="1" outlineLevel="1"/>
    <col min="13" max="13" width="23.7109375" style="7" hidden="1" customWidth="1" outlineLevel="1" collapsed="1"/>
    <col min="14" max="14" width="27" style="1" hidden="1" customWidth="1" outlineLevel="1"/>
    <col min="15" max="15" width="10.42578125" style="81" hidden="1" customWidth="1" outlineLevel="1"/>
    <col min="16" max="16" width="21.5703125" style="82" hidden="1" customWidth="1"/>
    <col min="17" max="17" width="6.5703125" style="1" hidden="1" customWidth="1"/>
    <col min="18" max="18" width="6.85546875" style="1" hidden="1" customWidth="1"/>
    <col min="19" max="19" width="11.5703125" style="1" hidden="1" customWidth="1"/>
    <col min="20" max="20" width="21.7109375" style="1" customWidth="1"/>
    <col min="21" max="16384" width="9.140625" style="1"/>
  </cols>
  <sheetData>
    <row r="2" spans="1:20" x14ac:dyDescent="0.25">
      <c r="A2" s="155" t="s">
        <v>170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x14ac:dyDescent="0.25">
      <c r="A3" s="155" t="s">
        <v>185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7" spans="1:20" ht="18.75" x14ac:dyDescent="0.3">
      <c r="A7" s="157" t="s">
        <v>122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</row>
    <row r="8" spans="1:20" ht="18.75" x14ac:dyDescent="0.3">
      <c r="A8" s="157" t="s">
        <v>123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</row>
    <row r="9" spans="1:20" ht="18.75" x14ac:dyDescent="0.3">
      <c r="A9" s="157" t="s">
        <v>157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1:20" ht="18.75" x14ac:dyDescent="0.3">
      <c r="A10" s="157" t="s">
        <v>158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1:20" ht="19.5" customHeight="1" x14ac:dyDescent="0.3">
      <c r="A11" s="157" t="s">
        <v>178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1:20" ht="20.25" customHeight="1" x14ac:dyDescent="0.3">
      <c r="A12" s="156" t="s">
        <v>115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ht="17.25" customHeight="1" x14ac:dyDescent="0.3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</row>
    <row r="14" spans="1:20" ht="63.6" customHeight="1" x14ac:dyDescent="0.25">
      <c r="A14" s="128" t="s">
        <v>116</v>
      </c>
      <c r="B14" s="128" t="s">
        <v>90</v>
      </c>
      <c r="C14" s="128" t="s">
        <v>53</v>
      </c>
      <c r="D14" s="134" t="s">
        <v>54</v>
      </c>
      <c r="E14" s="134" t="s">
        <v>26</v>
      </c>
      <c r="F14" s="134" t="s">
        <v>18</v>
      </c>
      <c r="G14" s="134" t="s">
        <v>55</v>
      </c>
      <c r="H14" s="134" t="s">
        <v>153</v>
      </c>
      <c r="I14" s="134" t="s">
        <v>52</v>
      </c>
      <c r="J14" s="134" t="s">
        <v>89</v>
      </c>
      <c r="K14" s="134" t="s">
        <v>25</v>
      </c>
      <c r="L14" s="134" t="s">
        <v>19</v>
      </c>
      <c r="M14" s="134" t="s">
        <v>50</v>
      </c>
      <c r="N14" s="128" t="s">
        <v>0</v>
      </c>
      <c r="O14" s="128" t="s">
        <v>91</v>
      </c>
      <c r="P14" s="135" t="s">
        <v>36</v>
      </c>
      <c r="T14" s="135" t="s">
        <v>36</v>
      </c>
    </row>
    <row r="15" spans="1:20" ht="19.899999999999999" customHeight="1" x14ac:dyDescent="0.25">
      <c r="A15" s="115" t="s">
        <v>37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>
        <f>P16+P17+P18+P19</f>
        <v>12.520142006379384</v>
      </c>
      <c r="S15" s="79">
        <f t="shared" ref="S15:S39" si="0">P15*$S$48</f>
        <v>5.3813005372264238</v>
      </c>
      <c r="T15" s="149">
        <f>T16+T17+T18+T19</f>
        <v>5.3813005372264238</v>
      </c>
    </row>
    <row r="16" spans="1:20" s="25" customFormat="1" ht="19.899999999999999" customHeight="1" x14ac:dyDescent="0.25">
      <c r="A16" s="120" t="s">
        <v>133</v>
      </c>
      <c r="B16" s="139">
        <v>47.28</v>
      </c>
      <c r="C16" s="121">
        <f>ЗП!M10</f>
        <v>154.61664974619285</v>
      </c>
      <c r="D16" s="122">
        <f>B16*C16</f>
        <v>7310.2751999999982</v>
      </c>
      <c r="E16" s="122">
        <f>D16*0.302</f>
        <v>2207.7031103999993</v>
      </c>
      <c r="F16" s="122">
        <f>'Материалы, инвентарь'!E13</f>
        <v>1084.3787</v>
      </c>
      <c r="G16" s="122">
        <f>'Спец одежда'!G13</f>
        <v>3030.048632</v>
      </c>
      <c r="H16" s="122">
        <f>D16*0.4429</f>
        <v>3237.7208860799992</v>
      </c>
      <c r="I16" s="122">
        <f>(D16+E16+F16+G16)*0.964</f>
        <v>13141.639039273598</v>
      </c>
      <c r="J16" s="122">
        <f>D16+E16+F16+G16+H16+I16</f>
        <v>30011.765567753595</v>
      </c>
      <c r="K16" s="122">
        <f>J16*0.1</f>
        <v>3001.1765567753596</v>
      </c>
      <c r="L16" s="122">
        <f>(J16+K16)*0.18</f>
        <v>5942.3295824152119</v>
      </c>
      <c r="M16" s="122" t="s">
        <v>42</v>
      </c>
      <c r="N16" s="122">
        <f>J16+K16+L16</f>
        <v>38955.271706944171</v>
      </c>
      <c r="O16" s="122">
        <f>N16/12</f>
        <v>3246.2726422453475</v>
      </c>
      <c r="P16" s="123">
        <f>O16/1000</f>
        <v>3.2462726422453474</v>
      </c>
      <c r="S16" s="1">
        <f t="shared" si="0"/>
        <v>1.3952851896406022</v>
      </c>
      <c r="T16" s="150">
        <v>1.3952851896406022</v>
      </c>
    </row>
    <row r="17" spans="1:33" ht="19.899999999999999" customHeight="1" x14ac:dyDescent="0.25">
      <c r="A17" s="110" t="s">
        <v>134</v>
      </c>
      <c r="B17" s="108">
        <v>108.19</v>
      </c>
      <c r="C17" s="121">
        <f>ЗП!M10</f>
        <v>154.61664974619285</v>
      </c>
      <c r="D17" s="109">
        <f>B17*C17</f>
        <v>16727.975336040603</v>
      </c>
      <c r="E17" s="109">
        <f>D17*0.302</f>
        <v>5051.8485514842623</v>
      </c>
      <c r="F17" s="109">
        <f>'Материалы, инвентарь'!E20</f>
        <v>966.68319999999994</v>
      </c>
      <c r="G17" s="109">
        <f>'Спец одежда'!G13</f>
        <v>3030.048632</v>
      </c>
      <c r="H17" s="122">
        <f>D17*0.4429</f>
        <v>7408.8202763323834</v>
      </c>
      <c r="I17" s="122">
        <f t="shared" ref="I17:I19" si="1">(D17+E17+F17+G17)*0.964</f>
        <v>24848.599713621967</v>
      </c>
      <c r="J17" s="122">
        <f t="shared" ref="J17:J19" si="2">D17+E17+F17+G17+H17+I17</f>
        <v>58033.975709479215</v>
      </c>
      <c r="K17" s="122">
        <f t="shared" ref="K17:K19" si="3">J17*0.1</f>
        <v>5803.3975709479218</v>
      </c>
      <c r="L17" s="122">
        <f t="shared" ref="L17:L19" si="4">(J17+K17)*0.18</f>
        <v>11490.727190476884</v>
      </c>
      <c r="M17" s="122" t="s">
        <v>49</v>
      </c>
      <c r="N17" s="122">
        <f>J17+K17+L17</f>
        <v>75328.100470904013</v>
      </c>
      <c r="O17" s="122">
        <f t="shared" ref="O17:O18" si="5">N17/12</f>
        <v>6277.3417059086678</v>
      </c>
      <c r="P17" s="123">
        <f t="shared" ref="P17:P19" si="6">O17/1000</f>
        <v>6.2773417059086674</v>
      </c>
      <c r="S17" s="1">
        <f t="shared" si="0"/>
        <v>2.6980734145945071</v>
      </c>
      <c r="T17" s="151">
        <v>2.6980734145945071</v>
      </c>
    </row>
    <row r="18" spans="1:33" ht="31.9" customHeight="1" x14ac:dyDescent="0.25">
      <c r="A18" s="108" t="s">
        <v>135</v>
      </c>
      <c r="B18" s="108">
        <v>1.53</v>
      </c>
      <c r="C18" s="121">
        <f>ЗП!M10</f>
        <v>154.61664974619285</v>
      </c>
      <c r="D18" s="109">
        <f>B18*C18</f>
        <v>236.56347411167505</v>
      </c>
      <c r="E18" s="109">
        <f>D18*0.302</f>
        <v>71.442169181725859</v>
      </c>
      <c r="F18" s="109">
        <f>'Материалы, инвентарь'!E25</f>
        <v>4.2969000000000008</v>
      </c>
      <c r="G18" s="109">
        <f>'Спец одежда'!G13</f>
        <v>3030.048632</v>
      </c>
      <c r="H18" s="122">
        <f t="shared" ref="H18" si="7">D18*0.4429</f>
        <v>104.77396268406088</v>
      </c>
      <c r="I18" s="122">
        <f t="shared" si="1"/>
        <v>3222.0265329828385</v>
      </c>
      <c r="J18" s="122">
        <f t="shared" si="2"/>
        <v>6669.1516709603002</v>
      </c>
      <c r="K18" s="122">
        <f t="shared" si="3"/>
        <v>666.91516709603002</v>
      </c>
      <c r="L18" s="122">
        <f t="shared" si="4"/>
        <v>1320.4920308501394</v>
      </c>
      <c r="M18" s="122" t="s">
        <v>43</v>
      </c>
      <c r="N18" s="122">
        <f>J18+K18+L18</f>
        <v>8656.5588689064698</v>
      </c>
      <c r="O18" s="122">
        <f t="shared" si="5"/>
        <v>721.37990574220578</v>
      </c>
      <c r="P18" s="123">
        <f>O18/1000</f>
        <v>0.72137990574220578</v>
      </c>
      <c r="S18" s="1">
        <f t="shared" si="0"/>
        <v>0.31005735177260002</v>
      </c>
      <c r="T18" s="151">
        <v>0.31005735177260002</v>
      </c>
    </row>
    <row r="19" spans="1:33" ht="19.899999999999999" customHeight="1" x14ac:dyDescent="0.25">
      <c r="A19" s="124" t="s">
        <v>136</v>
      </c>
      <c r="B19" s="108">
        <v>8.59</v>
      </c>
      <c r="C19" s="121">
        <f>ЗП!M10</f>
        <v>154.61664974619285</v>
      </c>
      <c r="D19" s="109">
        <f>B19*C19</f>
        <v>1328.1570213197965</v>
      </c>
      <c r="E19" s="109">
        <f>D19*0.302</f>
        <v>401.10342043857855</v>
      </c>
      <c r="F19" s="109">
        <f>'Материалы, инвентарь'!E29</f>
        <v>5650.8145000000004</v>
      </c>
      <c r="G19" s="109">
        <f>'Спец одежда'!G13</f>
        <v>3030.048632</v>
      </c>
      <c r="H19" s="122">
        <f>D19*0.4429</f>
        <v>588.24074474253791</v>
      </c>
      <c r="I19" s="122">
        <f t="shared" si="1"/>
        <v>10035.359125103074</v>
      </c>
      <c r="J19" s="122">
        <f t="shared" si="2"/>
        <v>21033.723443603987</v>
      </c>
      <c r="K19" s="122">
        <f t="shared" si="3"/>
        <v>2103.372344360399</v>
      </c>
      <c r="L19" s="122">
        <f t="shared" si="4"/>
        <v>4164.6772418335895</v>
      </c>
      <c r="M19" s="122" t="s">
        <v>31</v>
      </c>
      <c r="N19" s="122">
        <f>J19+K19+L19</f>
        <v>27301.773029797976</v>
      </c>
      <c r="O19" s="122">
        <f>N19/12</f>
        <v>2275.1477524831648</v>
      </c>
      <c r="P19" s="123">
        <f t="shared" si="6"/>
        <v>2.2751477524831647</v>
      </c>
      <c r="S19" s="1">
        <f t="shared" si="0"/>
        <v>0.9778845812187148</v>
      </c>
      <c r="T19" s="151">
        <v>0.9778845812187148</v>
      </c>
    </row>
    <row r="20" spans="1:33" ht="34.15" customHeight="1" x14ac:dyDescent="0.25">
      <c r="A20" s="113" t="s">
        <v>39</v>
      </c>
      <c r="B20" s="127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27"/>
      <c r="N20" s="127"/>
      <c r="O20" s="127"/>
      <c r="P20" s="112">
        <f>P21+P22+P23+P24+P25+P26+P27</f>
        <v>10.385751379578483</v>
      </c>
      <c r="S20" s="79">
        <f t="shared" si="0"/>
        <v>4.463914981950583</v>
      </c>
      <c r="T20" s="149">
        <f>T21+T22+T23+T24+T25+T26+T27</f>
        <v>4.4639149819505821</v>
      </c>
    </row>
    <row r="21" spans="1:33" s="25" customFormat="1" ht="19.899999999999999" customHeight="1" x14ac:dyDescent="0.25">
      <c r="A21" s="120" t="s">
        <v>137</v>
      </c>
      <c r="B21" s="140">
        <v>1.89</v>
      </c>
      <c r="C21" s="122">
        <f>ЗП!M10</f>
        <v>154.61664974619285</v>
      </c>
      <c r="D21" s="122">
        <f t="shared" ref="D21:D27" si="8">B21*C21</f>
        <v>292.22546802030445</v>
      </c>
      <c r="E21" s="122">
        <f t="shared" ref="E21:E27" si="9">D21*0.302</f>
        <v>88.252091342131934</v>
      </c>
      <c r="F21" s="122">
        <v>0</v>
      </c>
      <c r="G21" s="122">
        <f>'Спец одежда'!G13</f>
        <v>3030.048632</v>
      </c>
      <c r="H21" s="122">
        <f>D21*0.4429</f>
        <v>129.42665978619286</v>
      </c>
      <c r="I21" s="122">
        <f t="shared" ref="I21:I27" si="10">(D21+E21+F21+G21)*0.964</f>
        <v>3287.7472484733885</v>
      </c>
      <c r="J21" s="122">
        <f t="shared" ref="J21:J27" si="11">D21+E21+F21+G21+H21+I21</f>
        <v>6827.7000996220177</v>
      </c>
      <c r="K21" s="122">
        <f t="shared" ref="K21:K27" si="12">J21*0.1</f>
        <v>682.77000996220181</v>
      </c>
      <c r="L21" s="122">
        <f t="shared" ref="L21:L27" si="13">(J21+K21)*0.18</f>
        <v>1351.8846197251594</v>
      </c>
      <c r="M21" s="122" t="s">
        <v>48</v>
      </c>
      <c r="N21" s="122">
        <f>J21+K21+L21</f>
        <v>8862.3547293093779</v>
      </c>
      <c r="O21" s="122">
        <f>N21/12</f>
        <v>738.52956077578153</v>
      </c>
      <c r="P21" s="123">
        <f t="shared" ref="P21:P24" si="14">O21/1000</f>
        <v>0.73852956077578158</v>
      </c>
      <c r="S21" s="1">
        <f t="shared" si="0"/>
        <v>0.31742847007129071</v>
      </c>
      <c r="T21" s="150">
        <v>0.31742847007129071</v>
      </c>
    </row>
    <row r="22" spans="1:33" ht="19.899999999999999" customHeight="1" x14ac:dyDescent="0.25">
      <c r="A22" s="108" t="s">
        <v>148</v>
      </c>
      <c r="B22" s="140">
        <v>8.34</v>
      </c>
      <c r="C22" s="122">
        <f>ЗП!M10</f>
        <v>154.61664974619285</v>
      </c>
      <c r="D22" s="122">
        <f t="shared" si="8"/>
        <v>1289.5028588832483</v>
      </c>
      <c r="E22" s="122">
        <f t="shared" si="9"/>
        <v>389.42986338274096</v>
      </c>
      <c r="F22" s="122">
        <v>0</v>
      </c>
      <c r="G22" s="122">
        <f>'Спец одежда'!G13</f>
        <v>3030.048632</v>
      </c>
      <c r="H22" s="122">
        <f t="shared" ref="H22:H26" si="15">D22*0.4429</f>
        <v>571.12081619939067</v>
      </c>
      <c r="I22" s="122">
        <f t="shared" si="10"/>
        <v>4539.4580255124138</v>
      </c>
      <c r="J22" s="122">
        <f t="shared" si="11"/>
        <v>9819.5601959777941</v>
      </c>
      <c r="K22" s="122">
        <f t="shared" si="12"/>
        <v>981.95601959777946</v>
      </c>
      <c r="L22" s="122">
        <f t="shared" si="13"/>
        <v>1944.272918803603</v>
      </c>
      <c r="M22" s="122" t="s">
        <v>45</v>
      </c>
      <c r="N22" s="122">
        <f>J22+K22+L22</f>
        <v>12745.789134379176</v>
      </c>
      <c r="O22" s="122">
        <f>N22/12</f>
        <v>1062.1490945315979</v>
      </c>
      <c r="P22" s="123">
        <f t="shared" si="14"/>
        <v>1.0621490945315979</v>
      </c>
      <c r="S22" s="1">
        <f t="shared" si="0"/>
        <v>0.45652385492952924</v>
      </c>
      <c r="T22" s="151">
        <v>0.45652385492952924</v>
      </c>
    </row>
    <row r="23" spans="1:33" ht="19.899999999999999" customHeight="1" x14ac:dyDescent="0.25">
      <c r="A23" s="108" t="s">
        <v>138</v>
      </c>
      <c r="B23" s="140">
        <v>0.18</v>
      </c>
      <c r="C23" s="122">
        <f>ЗП!M10</f>
        <v>154.61664974619285</v>
      </c>
      <c r="D23" s="122">
        <f t="shared" si="8"/>
        <v>27.830996954314713</v>
      </c>
      <c r="E23" s="122">
        <f t="shared" si="9"/>
        <v>8.4049610802030426</v>
      </c>
      <c r="F23" s="122">
        <v>0</v>
      </c>
      <c r="G23" s="122">
        <f>'Спец одежда'!G13</f>
        <v>3030.048632</v>
      </c>
      <c r="H23" s="122">
        <f t="shared" si="15"/>
        <v>12.326348551065987</v>
      </c>
      <c r="I23" s="122">
        <f t="shared" si="10"/>
        <v>2955.8983447932751</v>
      </c>
      <c r="J23" s="122">
        <f t="shared" si="11"/>
        <v>6034.5092833788585</v>
      </c>
      <c r="K23" s="122">
        <f t="shared" si="12"/>
        <v>603.4509283378859</v>
      </c>
      <c r="L23" s="122">
        <f t="shared" si="13"/>
        <v>1194.8328381090139</v>
      </c>
      <c r="M23" s="122" t="s">
        <v>45</v>
      </c>
      <c r="N23" s="122">
        <f t="shared" ref="N23:N24" si="16">J23+K23+L23</f>
        <v>7832.7930498257583</v>
      </c>
      <c r="O23" s="122">
        <f t="shared" ref="O23:O24" si="17">N23/12</f>
        <v>652.73275415214653</v>
      </c>
      <c r="P23" s="123">
        <f t="shared" si="14"/>
        <v>0.65273275415214649</v>
      </c>
      <c r="S23" s="1">
        <f t="shared" si="0"/>
        <v>0.28055201920189721</v>
      </c>
      <c r="T23" s="151">
        <v>0.28055201920189721</v>
      </c>
    </row>
    <row r="24" spans="1:33" s="25" customFormat="1" ht="39" customHeight="1" x14ac:dyDescent="0.25">
      <c r="A24" s="120" t="s">
        <v>145</v>
      </c>
      <c r="B24" s="140">
        <v>0.01</v>
      </c>
      <c r="C24" s="122">
        <f>ЗП!M10</f>
        <v>154.61664974619285</v>
      </c>
      <c r="D24" s="122">
        <f t="shared" si="8"/>
        <v>1.5461664974619285</v>
      </c>
      <c r="E24" s="122">
        <f t="shared" si="9"/>
        <v>0.46694228223350237</v>
      </c>
      <c r="F24" s="122">
        <v>0</v>
      </c>
      <c r="G24" s="122">
        <f>'Спец одежда'!G13</f>
        <v>3030.048632</v>
      </c>
      <c r="H24" s="122">
        <f t="shared" si="15"/>
        <v>0.68479714172588813</v>
      </c>
      <c r="I24" s="122">
        <f t="shared" si="10"/>
        <v>2922.9075181116264</v>
      </c>
      <c r="J24" s="122">
        <f t="shared" si="11"/>
        <v>5955.6540560330477</v>
      </c>
      <c r="K24" s="122">
        <f t="shared" si="12"/>
        <v>595.56540560330484</v>
      </c>
      <c r="L24" s="122">
        <f t="shared" si="13"/>
        <v>1179.2195030945434</v>
      </c>
      <c r="M24" s="122" t="s">
        <v>45</v>
      </c>
      <c r="N24" s="122">
        <f t="shared" si="16"/>
        <v>7730.4389647308953</v>
      </c>
      <c r="O24" s="122">
        <f t="shared" si="17"/>
        <v>644.20324706090798</v>
      </c>
      <c r="P24" s="123">
        <f t="shared" si="14"/>
        <v>0.64420324706090804</v>
      </c>
      <c r="S24" s="1">
        <f t="shared" si="0"/>
        <v>0.27688593929090494</v>
      </c>
      <c r="T24" s="150">
        <v>0.27688593929090494</v>
      </c>
    </row>
    <row r="25" spans="1:33" ht="19.899999999999999" customHeight="1" x14ac:dyDescent="0.25">
      <c r="A25" s="108" t="s">
        <v>139</v>
      </c>
      <c r="B25" s="108">
        <v>16.72</v>
      </c>
      <c r="C25" s="109">
        <f>ЗП!M10</f>
        <v>154.61664974619285</v>
      </c>
      <c r="D25" s="122">
        <f t="shared" si="8"/>
        <v>2585.1903837563441</v>
      </c>
      <c r="E25" s="122">
        <f t="shared" si="9"/>
        <v>780.72749589441594</v>
      </c>
      <c r="F25" s="109">
        <v>0</v>
      </c>
      <c r="G25" s="109">
        <f>'Спец одежда'!G13</f>
        <v>3030.048632</v>
      </c>
      <c r="H25" s="122">
        <f t="shared" si="15"/>
        <v>1144.9808209656849</v>
      </c>
      <c r="I25" s="122">
        <f t="shared" si="10"/>
        <v>6165.7117172313328</v>
      </c>
      <c r="J25" s="122">
        <f t="shared" si="11"/>
        <v>13706.659049847778</v>
      </c>
      <c r="K25" s="122">
        <f t="shared" si="12"/>
        <v>1370.6659049847779</v>
      </c>
      <c r="L25" s="122">
        <f t="shared" si="13"/>
        <v>2713.9184918698602</v>
      </c>
      <c r="M25" s="126" t="s">
        <v>33</v>
      </c>
      <c r="N25" s="122">
        <f>J25+K25+L25</f>
        <v>17791.243446702418</v>
      </c>
      <c r="O25" s="129">
        <f>N25/12</f>
        <v>1482.6036205585349</v>
      </c>
      <c r="P25" s="123">
        <f>O25/1000</f>
        <v>1.4826036205585349</v>
      </c>
      <c r="S25" s="1">
        <f t="shared" si="0"/>
        <v>0.63724002936550439</v>
      </c>
      <c r="T25" s="151">
        <v>0.63724002936550439</v>
      </c>
    </row>
    <row r="26" spans="1:33" ht="19.899999999999999" customHeight="1" x14ac:dyDescent="0.25">
      <c r="A26" s="108" t="s">
        <v>140</v>
      </c>
      <c r="B26" s="108">
        <v>49.01</v>
      </c>
      <c r="C26" s="109">
        <f>ЗП!M10</f>
        <v>154.61664974619285</v>
      </c>
      <c r="D26" s="122">
        <f t="shared" si="8"/>
        <v>7577.7620040609108</v>
      </c>
      <c r="E26" s="122">
        <f t="shared" si="9"/>
        <v>2288.484125226395</v>
      </c>
      <c r="F26" s="109">
        <v>0</v>
      </c>
      <c r="G26" s="109">
        <f>'Спец одежда'!G13</f>
        <v>3030.048632</v>
      </c>
      <c r="H26" s="122">
        <f t="shared" si="15"/>
        <v>3356.1907915985776</v>
      </c>
      <c r="I26" s="122">
        <f t="shared" si="10"/>
        <v>12432.028149880962</v>
      </c>
      <c r="J26" s="122">
        <f t="shared" si="11"/>
        <v>28684.513702766846</v>
      </c>
      <c r="K26" s="122">
        <f t="shared" si="12"/>
        <v>2868.4513702766849</v>
      </c>
      <c r="L26" s="122">
        <f t="shared" si="13"/>
        <v>5679.5337131478354</v>
      </c>
      <c r="M26" s="126" t="s">
        <v>33</v>
      </c>
      <c r="N26" s="122">
        <f>J26+K26+L26</f>
        <v>37232.498786191369</v>
      </c>
      <c r="O26" s="129">
        <f>N26/12</f>
        <v>3102.7082321826142</v>
      </c>
      <c r="P26" s="123">
        <f t="shared" ref="P26:P27" si="18">O26/1000</f>
        <v>3.1027082321826143</v>
      </c>
      <c r="S26" s="1">
        <f t="shared" si="0"/>
        <v>1.3335795606945777</v>
      </c>
      <c r="T26" s="151">
        <v>1.3335795606945777</v>
      </c>
    </row>
    <row r="27" spans="1:33" ht="19.899999999999999" customHeight="1" x14ac:dyDescent="0.25">
      <c r="A27" s="108" t="s">
        <v>141</v>
      </c>
      <c r="B27" s="108">
        <v>41.04</v>
      </c>
      <c r="C27" s="109">
        <f>ЗП!M10</f>
        <v>154.61664974619285</v>
      </c>
      <c r="D27" s="122">
        <f t="shared" si="8"/>
        <v>6345.4673055837548</v>
      </c>
      <c r="E27" s="122">
        <f t="shared" si="9"/>
        <v>1916.331126286294</v>
      </c>
      <c r="F27" s="109">
        <v>0</v>
      </c>
      <c r="G27" s="109">
        <f>'Спец одежда'!G13</f>
        <v>3030.048632</v>
      </c>
      <c r="H27" s="122">
        <f>D27*0.4429</f>
        <v>2810.4074696430453</v>
      </c>
      <c r="I27" s="122">
        <f t="shared" si="10"/>
        <v>10885.340569570728</v>
      </c>
      <c r="J27" s="122">
        <f t="shared" si="11"/>
        <v>24987.595103083822</v>
      </c>
      <c r="K27" s="122">
        <f t="shared" si="12"/>
        <v>2498.7595103083822</v>
      </c>
      <c r="L27" s="122">
        <f t="shared" si="13"/>
        <v>4947.5438304105974</v>
      </c>
      <c r="M27" s="126" t="s">
        <v>44</v>
      </c>
      <c r="N27" s="122">
        <f>J27+K27+L27</f>
        <v>32433.898443802806</v>
      </c>
      <c r="O27" s="129">
        <f>N27/12</f>
        <v>2702.8248703169006</v>
      </c>
      <c r="P27" s="123">
        <f t="shared" si="18"/>
        <v>2.7028248703169004</v>
      </c>
      <c r="S27" s="1">
        <f t="shared" si="0"/>
        <v>1.1617051083968786</v>
      </c>
      <c r="T27" s="151">
        <v>1.1617051083968786</v>
      </c>
    </row>
    <row r="28" spans="1:33" s="78" customFormat="1" ht="19.899999999999999" customHeight="1" x14ac:dyDescent="0.25">
      <c r="A28" s="118" t="s">
        <v>117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36">
        <f>P29+P30+P31+P32+P33+P34+P35+P36+P37</f>
        <v>13.278471122041653</v>
      </c>
      <c r="S28" s="79">
        <f t="shared" si="0"/>
        <v>5.7072390829257067</v>
      </c>
      <c r="T28" s="152">
        <f>T29+T30+T31+T32+T33+T34+T35+T36+T37</f>
        <v>5.7072390829257067</v>
      </c>
    </row>
    <row r="29" spans="1:33" ht="19.899999999999999" customHeight="1" x14ac:dyDescent="0.25">
      <c r="A29" s="108" t="s">
        <v>132</v>
      </c>
      <c r="B29" s="108">
        <v>0.39</v>
      </c>
      <c r="C29" s="109">
        <f>ЗП!M11</f>
        <v>155.61502538071065</v>
      </c>
      <c r="D29" s="126">
        <f>B29*C29</f>
        <v>60.689859898477152</v>
      </c>
      <c r="E29" s="126">
        <f t="shared" ref="E29:E36" si="19">D29*0.302</f>
        <v>18.328337689340099</v>
      </c>
      <c r="F29" s="109">
        <v>0</v>
      </c>
      <c r="G29" s="109">
        <f>'Спец одежда'!G35</f>
        <v>3077.8574320000002</v>
      </c>
      <c r="H29" s="126">
        <f>D29*0.4429</f>
        <v>26.879538949035531</v>
      </c>
      <c r="I29" s="126">
        <f t="shared" ref="I29:I36" si="20">(D29+E29+F29+G29)*0.964</f>
        <v>3043.228106922656</v>
      </c>
      <c r="J29" s="126">
        <f t="shared" ref="J29:J36" si="21">D29+E29+F29+G29+H29+I29</f>
        <v>6226.9832754595091</v>
      </c>
      <c r="K29" s="126">
        <f t="shared" ref="K29:K36" si="22">J29*0.1</f>
        <v>622.69832754595097</v>
      </c>
      <c r="L29" s="126">
        <f t="shared" ref="L29:L36" si="23">(J29+K29)*0.18</f>
        <v>1232.9426885409828</v>
      </c>
      <c r="M29" s="122" t="s">
        <v>32</v>
      </c>
      <c r="N29" s="122">
        <f t="shared" ref="N29:N31" si="24">J29+K29+L29</f>
        <v>8082.6242915464427</v>
      </c>
      <c r="O29" s="129">
        <f t="shared" ref="O29:O31" si="25">N29/12</f>
        <v>673.55202429553685</v>
      </c>
      <c r="P29" s="123">
        <f t="shared" ref="P29:P31" si="26">O29/1000</f>
        <v>0.67355202429553684</v>
      </c>
      <c r="Q29" s="78"/>
      <c r="R29" s="78"/>
      <c r="S29" s="1">
        <f t="shared" si="0"/>
        <v>0.28950038013504026</v>
      </c>
      <c r="T29" s="153">
        <v>0.28950038013504026</v>
      </c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</row>
    <row r="30" spans="1:33" ht="19.899999999999999" customHeight="1" x14ac:dyDescent="0.25">
      <c r="A30" s="108" t="s">
        <v>142</v>
      </c>
      <c r="B30" s="108">
        <v>9.8000000000000007</v>
      </c>
      <c r="C30" s="109">
        <f>ЗП!M11</f>
        <v>155.61502538071065</v>
      </c>
      <c r="D30" s="126">
        <f>B30*C30</f>
        <v>1525.0272487309644</v>
      </c>
      <c r="E30" s="126">
        <f t="shared" si="19"/>
        <v>460.55822911675125</v>
      </c>
      <c r="F30" s="109">
        <v>0</v>
      </c>
      <c r="G30" s="109">
        <f>'Спец одежда'!G35</f>
        <v>3077.8574320000002</v>
      </c>
      <c r="H30" s="126">
        <f t="shared" ref="H30:H31" si="27">D30*0.4429</f>
        <v>675.43456846294418</v>
      </c>
      <c r="I30" s="126">
        <f t="shared" si="20"/>
        <v>4881.1589650931983</v>
      </c>
      <c r="J30" s="126">
        <f t="shared" si="21"/>
        <v>10620.036443403858</v>
      </c>
      <c r="K30" s="126">
        <f t="shared" si="22"/>
        <v>1062.0036443403858</v>
      </c>
      <c r="L30" s="126">
        <f t="shared" si="23"/>
        <v>2102.7672157939637</v>
      </c>
      <c r="M30" s="122"/>
      <c r="N30" s="122">
        <f t="shared" si="24"/>
        <v>13784.807303538208</v>
      </c>
      <c r="O30" s="129">
        <f t="shared" si="25"/>
        <v>1148.7339419615173</v>
      </c>
      <c r="P30" s="123">
        <f t="shared" si="26"/>
        <v>1.1487339419615172</v>
      </c>
      <c r="Q30" s="78"/>
      <c r="R30" s="78"/>
      <c r="S30" s="1">
        <f t="shared" si="0"/>
        <v>0.49373901476979964</v>
      </c>
      <c r="T30" s="153">
        <v>0.49373901476979964</v>
      </c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</row>
    <row r="31" spans="1:33" ht="19.899999999999999" customHeight="1" x14ac:dyDescent="0.25">
      <c r="A31" s="108" t="s">
        <v>130</v>
      </c>
      <c r="B31" s="138">
        <v>4</v>
      </c>
      <c r="C31" s="109">
        <f>ЗП!M10</f>
        <v>154.61664974619285</v>
      </c>
      <c r="D31" s="126">
        <f>B31*C31</f>
        <v>618.46659898477139</v>
      </c>
      <c r="E31" s="126">
        <f t="shared" si="19"/>
        <v>186.77691289340095</v>
      </c>
      <c r="F31" s="109">
        <v>0</v>
      </c>
      <c r="G31" s="109">
        <f>'Спец одежда'!G35</f>
        <v>3077.8574320000002</v>
      </c>
      <c r="H31" s="126">
        <f t="shared" si="27"/>
        <v>273.91885669035526</v>
      </c>
      <c r="I31" s="126">
        <f t="shared" si="20"/>
        <v>3743.3093098985582</v>
      </c>
      <c r="J31" s="126">
        <f t="shared" si="21"/>
        <v>7900.3291104670861</v>
      </c>
      <c r="K31" s="126">
        <f t="shared" si="22"/>
        <v>790.0329110467087</v>
      </c>
      <c r="L31" s="126">
        <f t="shared" si="23"/>
        <v>1564.2651638724828</v>
      </c>
      <c r="M31" s="122" t="s">
        <v>32</v>
      </c>
      <c r="N31" s="122">
        <f t="shared" si="24"/>
        <v>10254.627185386278</v>
      </c>
      <c r="O31" s="129">
        <f t="shared" si="25"/>
        <v>854.55226544885647</v>
      </c>
      <c r="P31" s="123">
        <f t="shared" si="26"/>
        <v>0.85455226544885643</v>
      </c>
      <c r="Q31" s="78"/>
      <c r="R31" s="78"/>
      <c r="S31" s="1">
        <f t="shared" si="0"/>
        <v>0.36729635836437508</v>
      </c>
      <c r="T31" s="153">
        <v>0.36729635836437508</v>
      </c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</row>
    <row r="32" spans="1:33" s="78" customFormat="1" ht="19.899999999999999" customHeight="1" x14ac:dyDescent="0.25">
      <c r="A32" s="120" t="s">
        <v>129</v>
      </c>
      <c r="B32" s="108">
        <v>7.54</v>
      </c>
      <c r="C32" s="109">
        <f>ЗП!M9</f>
        <v>155.61502538071065</v>
      </c>
      <c r="D32" s="109">
        <f>B32*C32</f>
        <v>1173.3372913705582</v>
      </c>
      <c r="E32" s="109">
        <f t="shared" si="19"/>
        <v>354.34786199390857</v>
      </c>
      <c r="F32" s="109">
        <v>0</v>
      </c>
      <c r="G32" s="109">
        <f>'Спец одежда'!G25</f>
        <v>3277.048632</v>
      </c>
      <c r="H32" s="126">
        <f>D32*0.4429</f>
        <v>519.67108634802025</v>
      </c>
      <c r="I32" s="126">
        <f t="shared" si="20"/>
        <v>4631.7633690913453</v>
      </c>
      <c r="J32" s="126">
        <f t="shared" si="21"/>
        <v>9956.1682408038323</v>
      </c>
      <c r="K32" s="126">
        <f t="shared" si="22"/>
        <v>995.61682408038325</v>
      </c>
      <c r="L32" s="126">
        <f t="shared" si="23"/>
        <v>1971.3213116791587</v>
      </c>
      <c r="M32" s="126" t="s">
        <v>33</v>
      </c>
      <c r="N32" s="122">
        <f>J32+K32+L32</f>
        <v>12923.106376563375</v>
      </c>
      <c r="O32" s="129">
        <f>N32/12</f>
        <v>1076.9255313802812</v>
      </c>
      <c r="P32" s="123">
        <f>O32/1000</f>
        <v>1.0769255313802812</v>
      </c>
      <c r="S32" s="1">
        <f t="shared" si="0"/>
        <v>0.46287493685109177</v>
      </c>
      <c r="T32" s="153">
        <v>0.46287493685109177</v>
      </c>
    </row>
    <row r="33" spans="1:20" s="78" customFormat="1" ht="39" customHeight="1" x14ac:dyDescent="0.25">
      <c r="A33" s="108" t="s">
        <v>146</v>
      </c>
      <c r="B33" s="108">
        <v>31.8</v>
      </c>
      <c r="C33" s="109">
        <f>ЗП!M9</f>
        <v>155.61502538071065</v>
      </c>
      <c r="D33" s="109">
        <f>B33*C33</f>
        <v>4948.5578071065984</v>
      </c>
      <c r="E33" s="109">
        <f t="shared" si="19"/>
        <v>1494.4644577461927</v>
      </c>
      <c r="F33" s="109">
        <v>0</v>
      </c>
      <c r="G33" s="109">
        <f>'Спец одежда'!G25</f>
        <v>3277.048632</v>
      </c>
      <c r="H33" s="126">
        <f>D33*0.4429</f>
        <v>2191.7162527675123</v>
      </c>
      <c r="I33" s="126">
        <f t="shared" si="20"/>
        <v>9370.1483445660906</v>
      </c>
      <c r="J33" s="126">
        <f t="shared" si="21"/>
        <v>21281.935494186393</v>
      </c>
      <c r="K33" s="126">
        <f t="shared" si="22"/>
        <v>2128.1935494186396</v>
      </c>
      <c r="L33" s="126">
        <f t="shared" si="23"/>
        <v>4213.8232278489058</v>
      </c>
      <c r="M33" s="122" t="s">
        <v>43</v>
      </c>
      <c r="N33" s="122">
        <f>J33+K33+L33</f>
        <v>27623.952271453938</v>
      </c>
      <c r="O33" s="129">
        <f>N33/12</f>
        <v>2301.9960226211615</v>
      </c>
      <c r="P33" s="123">
        <f>O33/1000</f>
        <v>2.3019960226211613</v>
      </c>
      <c r="S33" s="1">
        <f t="shared" si="0"/>
        <v>0.98942427545250111</v>
      </c>
      <c r="T33" s="153">
        <v>0.98942427545250111</v>
      </c>
    </row>
    <row r="34" spans="1:20" ht="19.899999999999999" customHeight="1" x14ac:dyDescent="0.25">
      <c r="A34" s="130" t="s">
        <v>128</v>
      </c>
      <c r="B34" s="108">
        <v>19.86</v>
      </c>
      <c r="C34" s="109">
        <f>ЗП!M9</f>
        <v>155.61502538071065</v>
      </c>
      <c r="D34" s="109">
        <f>B34*C34*2</f>
        <v>6181.0288081218268</v>
      </c>
      <c r="E34" s="109">
        <f t="shared" si="19"/>
        <v>1866.6707000527917</v>
      </c>
      <c r="F34" s="109">
        <f>'Материалы, инвентарь'!E33</f>
        <v>1356.24</v>
      </c>
      <c r="G34" s="109">
        <f>'Спец одежда'!G25</f>
        <v>3277.048632</v>
      </c>
      <c r="H34" s="126">
        <f t="shared" ref="H34:H35" si="28">D34*0.4429</f>
        <v>2737.5776591171571</v>
      </c>
      <c r="I34" s="126">
        <f t="shared" si="20"/>
        <v>12224.472567128332</v>
      </c>
      <c r="J34" s="126">
        <f t="shared" si="21"/>
        <v>27643.038366420107</v>
      </c>
      <c r="K34" s="126">
        <f t="shared" si="22"/>
        <v>2764.303836642011</v>
      </c>
      <c r="L34" s="126">
        <f t="shared" si="23"/>
        <v>5473.3215965511808</v>
      </c>
      <c r="M34" s="122"/>
      <c r="N34" s="122">
        <f>J34+K34+L34</f>
        <v>35880.663799613299</v>
      </c>
      <c r="O34" s="129">
        <f>N34/12</f>
        <v>2990.0553166344416</v>
      </c>
      <c r="P34" s="123">
        <f>O34/1000</f>
        <v>2.9900553166344417</v>
      </c>
      <c r="S34" s="1">
        <f t="shared" si="0"/>
        <v>1.2851600463910964</v>
      </c>
      <c r="T34" s="151">
        <v>1.2851600463910964</v>
      </c>
    </row>
    <row r="35" spans="1:20" ht="19.899999999999999" customHeight="1" x14ac:dyDescent="0.25">
      <c r="A35" s="131" t="s">
        <v>149</v>
      </c>
      <c r="B35" s="108">
        <v>2.8</v>
      </c>
      <c r="C35" s="109">
        <f>ЗП!M9</f>
        <v>155.61502538071065</v>
      </c>
      <c r="D35" s="109">
        <f>B35*C35</f>
        <v>435.72207106598978</v>
      </c>
      <c r="E35" s="109">
        <f t="shared" si="19"/>
        <v>131.58806546192892</v>
      </c>
      <c r="F35" s="109">
        <v>0</v>
      </c>
      <c r="G35" s="109">
        <f>'Спец одежда'!G35</f>
        <v>3077.8574320000002</v>
      </c>
      <c r="H35" s="126">
        <f t="shared" si="28"/>
        <v>192.98130527512689</v>
      </c>
      <c r="I35" s="126">
        <f t="shared" si="20"/>
        <v>3513.9415360609137</v>
      </c>
      <c r="J35" s="126">
        <f t="shared" si="21"/>
        <v>7352.0904098639594</v>
      </c>
      <c r="K35" s="126">
        <f t="shared" si="22"/>
        <v>735.20904098639596</v>
      </c>
      <c r="L35" s="126">
        <f t="shared" si="23"/>
        <v>1455.7139011530639</v>
      </c>
      <c r="M35" s="122" t="s">
        <v>31</v>
      </c>
      <c r="N35" s="122">
        <f>J35+K35+L35</f>
        <v>9543.0133520034196</v>
      </c>
      <c r="O35" s="129">
        <f>N35/12</f>
        <v>795.2511126669516</v>
      </c>
      <c r="P35" s="123">
        <f>O35/1000</f>
        <v>0.79525111266695159</v>
      </c>
      <c r="S35" s="1">
        <f t="shared" si="0"/>
        <v>0.3418080432030286</v>
      </c>
      <c r="T35" s="151">
        <v>0.3418080432030286</v>
      </c>
    </row>
    <row r="36" spans="1:20" s="78" customFormat="1" ht="32.450000000000003" customHeight="1" x14ac:dyDescent="0.25">
      <c r="A36" s="108" t="s">
        <v>147</v>
      </c>
      <c r="B36" s="108">
        <f>1.98+3.76</f>
        <v>5.74</v>
      </c>
      <c r="C36" s="109">
        <f>ЗП!M9+ЗП!M12</f>
        <v>311.2300507614213</v>
      </c>
      <c r="D36" s="109">
        <f>B36*C36</f>
        <v>1786.4604913705582</v>
      </c>
      <c r="E36" s="109">
        <f t="shared" si="19"/>
        <v>539.51106839390854</v>
      </c>
      <c r="F36" s="109">
        <v>0</v>
      </c>
      <c r="G36" s="109">
        <f>'Спец одежда'!G49+'Спец одежда'!G25</f>
        <v>6869.1860639999995</v>
      </c>
      <c r="H36" s="126">
        <f>D36*0.4429</f>
        <v>791.22335162802028</v>
      </c>
      <c r="I36" s="126">
        <f t="shared" si="20"/>
        <v>8864.131949308945</v>
      </c>
      <c r="J36" s="126">
        <f t="shared" si="21"/>
        <v>18850.512924701434</v>
      </c>
      <c r="K36" s="126">
        <f t="shared" si="22"/>
        <v>1885.0512924701434</v>
      </c>
      <c r="L36" s="126">
        <f t="shared" si="23"/>
        <v>3732.4015590908839</v>
      </c>
      <c r="M36" s="122" t="s">
        <v>34</v>
      </c>
      <c r="N36" s="122">
        <f>J36+K36+L36</f>
        <v>24467.965776262463</v>
      </c>
      <c r="O36" s="129">
        <f>N36/12</f>
        <v>2038.9971480218719</v>
      </c>
      <c r="P36" s="123">
        <f>O36/1000</f>
        <v>2.0389971480218718</v>
      </c>
      <c r="S36" s="1">
        <f t="shared" si="0"/>
        <v>0.87638434471928928</v>
      </c>
      <c r="T36" s="153">
        <v>0.87638434471928928</v>
      </c>
    </row>
    <row r="37" spans="1:20" s="78" customFormat="1" ht="19.899999999999999" customHeight="1" x14ac:dyDescent="0.25">
      <c r="A37" s="110" t="s">
        <v>127</v>
      </c>
      <c r="B37" s="108"/>
      <c r="C37" s="138"/>
      <c r="D37" s="138"/>
      <c r="E37" s="138"/>
      <c r="F37" s="138"/>
      <c r="G37" s="138"/>
      <c r="H37" s="122"/>
      <c r="I37" s="122"/>
      <c r="J37" s="122"/>
      <c r="K37" s="122"/>
      <c r="L37" s="122"/>
      <c r="M37" s="126"/>
      <c r="N37" s="122"/>
      <c r="O37" s="129"/>
      <c r="P37" s="123">
        <f>P38+P39</f>
        <v>1.3984077590110338</v>
      </c>
      <c r="S37" s="1">
        <f t="shared" si="0"/>
        <v>0.60105168303948431</v>
      </c>
      <c r="T37" s="153">
        <v>0.60105168303948431</v>
      </c>
    </row>
    <row r="38" spans="1:20" s="78" customFormat="1" ht="19.899999999999999" customHeight="1" x14ac:dyDescent="0.25">
      <c r="A38" s="110" t="s">
        <v>150</v>
      </c>
      <c r="B38" s="108">
        <v>0.06</v>
      </c>
      <c r="C38" s="109">
        <f>ЗП!M9</f>
        <v>155.61502538071065</v>
      </c>
      <c r="D38" s="109">
        <f>B38*C38</f>
        <v>9.3369015228426377</v>
      </c>
      <c r="E38" s="109">
        <f>D38*0.302</f>
        <v>2.8197442598984765</v>
      </c>
      <c r="F38" s="109">
        <v>0</v>
      </c>
      <c r="G38" s="109">
        <f>'Спец одежда'!G25</f>
        <v>3277.048632</v>
      </c>
      <c r="H38" s="126">
        <f>D38*0.4429</f>
        <v>4.135313684467004</v>
      </c>
      <c r="I38" s="126">
        <f>(D38+E38+F38+G38)*0.964</f>
        <v>3170.7938877825623</v>
      </c>
      <c r="J38" s="126">
        <f>D38+E38+F38+G38+H38+I38</f>
        <v>6464.1344792497703</v>
      </c>
      <c r="K38" s="126">
        <f>J38*0.1</f>
        <v>646.41344792497705</v>
      </c>
      <c r="L38" s="126">
        <f>(J38+K38)*0.18</f>
        <v>1279.8986268914543</v>
      </c>
      <c r="M38" s="126" t="s">
        <v>144</v>
      </c>
      <c r="N38" s="122">
        <f>J38+K38+L38</f>
        <v>8390.4465540662022</v>
      </c>
      <c r="O38" s="129">
        <f>N38/12</f>
        <v>699.20387950551685</v>
      </c>
      <c r="P38" s="123">
        <f>O38/1000</f>
        <v>0.69920387950551688</v>
      </c>
      <c r="S38" s="1">
        <f t="shared" si="0"/>
        <v>0.30052584151974215</v>
      </c>
      <c r="T38" s="153">
        <v>0.30052584151974215</v>
      </c>
    </row>
    <row r="39" spans="1:20" s="78" customFormat="1" ht="19.899999999999999" customHeight="1" x14ac:dyDescent="0.25">
      <c r="A39" s="110" t="s">
        <v>151</v>
      </c>
      <c r="B39" s="108">
        <v>0.06</v>
      </c>
      <c r="C39" s="109">
        <f>ЗП!M9</f>
        <v>155.61502538071065</v>
      </c>
      <c r="D39" s="109">
        <f>B39*C39</f>
        <v>9.3369015228426377</v>
      </c>
      <c r="E39" s="109">
        <f>D39*0.302</f>
        <v>2.8197442598984765</v>
      </c>
      <c r="F39" s="109">
        <v>0</v>
      </c>
      <c r="G39" s="109">
        <f>'Спец одежда'!G25</f>
        <v>3277.048632</v>
      </c>
      <c r="H39" s="126">
        <f>D39*0.4429</f>
        <v>4.135313684467004</v>
      </c>
      <c r="I39" s="126">
        <f>(D39+E39+F39+G39)*0.964</f>
        <v>3170.7938877825623</v>
      </c>
      <c r="J39" s="126">
        <f>D39+E39+F39+G39+H39+I39</f>
        <v>6464.1344792497703</v>
      </c>
      <c r="K39" s="126">
        <f>J39*0.1</f>
        <v>646.41344792497705</v>
      </c>
      <c r="L39" s="126">
        <f>(J39+K39)*0.18</f>
        <v>1279.8986268914543</v>
      </c>
      <c r="M39" s="126" t="s">
        <v>144</v>
      </c>
      <c r="N39" s="122">
        <f>J39+K39+L39</f>
        <v>8390.4465540662022</v>
      </c>
      <c r="O39" s="129">
        <f>N39/12</f>
        <v>699.20387950551685</v>
      </c>
      <c r="P39" s="123">
        <f>O39/1000</f>
        <v>0.69920387950551688</v>
      </c>
      <c r="S39" s="1">
        <f t="shared" si="0"/>
        <v>0.30052584151974215</v>
      </c>
      <c r="T39" s="153">
        <v>0.30052584151974215</v>
      </c>
    </row>
    <row r="40" spans="1:20" s="78" customFormat="1" ht="19.899999999999999" customHeight="1" x14ac:dyDescent="0.25">
      <c r="A40" s="132" t="s">
        <v>114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25"/>
      <c r="N40" s="125"/>
      <c r="O40" s="125"/>
      <c r="P40" s="137">
        <f>P41+P42</f>
        <v>12.32</v>
      </c>
      <c r="S40" s="79"/>
      <c r="T40" s="152">
        <f>T41+T42</f>
        <v>12.4216</v>
      </c>
    </row>
    <row r="41" spans="1:20" s="78" customFormat="1" ht="19.899999999999999" customHeight="1" x14ac:dyDescent="0.25">
      <c r="A41" s="108" t="s">
        <v>126</v>
      </c>
      <c r="B41" s="106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26"/>
      <c r="N41" s="122">
        <f>O41*12</f>
        <v>30480</v>
      </c>
      <c r="O41" s="122">
        <f>P41*1000</f>
        <v>2540</v>
      </c>
      <c r="P41" s="111">
        <f>2.54</f>
        <v>2.54</v>
      </c>
      <c r="S41" s="1"/>
      <c r="T41" s="153">
        <f>P41*1.04</f>
        <v>2.6415999999999999</v>
      </c>
    </row>
    <row r="42" spans="1:20" s="78" customFormat="1" ht="19.899999999999999" customHeight="1" x14ac:dyDescent="0.25">
      <c r="A42" s="108" t="s">
        <v>125</v>
      </c>
      <c r="B42" s="106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26"/>
      <c r="N42" s="122">
        <f>O42*12</f>
        <v>117360</v>
      </c>
      <c r="O42" s="122">
        <f>P42*1000</f>
        <v>9780</v>
      </c>
      <c r="P42" s="111">
        <v>9.7799999999999994</v>
      </c>
      <c r="S42" s="1"/>
      <c r="T42" s="153">
        <f>P42</f>
        <v>9.7799999999999994</v>
      </c>
    </row>
    <row r="43" spans="1:20" s="78" customFormat="1" ht="19.899999999999999" customHeight="1" x14ac:dyDescent="0.25">
      <c r="A43" s="132" t="s">
        <v>40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25"/>
      <c r="N43" s="125"/>
      <c r="O43" s="125"/>
      <c r="P43" s="137">
        <f>P44+P45</f>
        <v>1.6378613221806846</v>
      </c>
      <c r="S43" s="79">
        <f>P43*$S$48</f>
        <v>0.70397156904948788</v>
      </c>
      <c r="T43" s="152">
        <f>T44+T45</f>
        <v>0.70397156904948788</v>
      </c>
    </row>
    <row r="44" spans="1:20" s="78" customFormat="1" ht="19.899999999999999" customHeight="1" x14ac:dyDescent="0.25">
      <c r="A44" s="108" t="s">
        <v>152</v>
      </c>
      <c r="B44" s="108">
        <v>1.58</v>
      </c>
      <c r="C44" s="109">
        <f>ЗП!M10</f>
        <v>154.61664974619285</v>
      </c>
      <c r="D44" s="109">
        <f>B44*C44</f>
        <v>244.29430659898472</v>
      </c>
      <c r="E44" s="109">
        <f>D44*0.302</f>
        <v>73.776880592893377</v>
      </c>
      <c r="F44" s="109">
        <f>'Материалы, инвентарь'!E39</f>
        <v>156.1823</v>
      </c>
      <c r="G44" s="109">
        <f>'Спец одежда'!G13</f>
        <v>3030.048632</v>
      </c>
      <c r="H44" s="126">
        <f>D44*0.4429</f>
        <v>108.19794839269034</v>
      </c>
      <c r="I44" s="126">
        <f>(D44+E44+F44+G44)*0.964</f>
        <v>3378.14724290097</v>
      </c>
      <c r="J44" s="126">
        <f>D44+E44+F44+G44+H44+I44</f>
        <v>6990.6473104855377</v>
      </c>
      <c r="K44" s="126">
        <f>J44*0.1</f>
        <v>699.06473104855377</v>
      </c>
      <c r="L44" s="126">
        <f>(J44+K44)*0.18</f>
        <v>1384.1481674761365</v>
      </c>
      <c r="M44" s="126" t="s">
        <v>32</v>
      </c>
      <c r="N44" s="122">
        <f>J44+K44+L44</f>
        <v>9073.8602090102286</v>
      </c>
      <c r="O44" s="129">
        <f>N44/12</f>
        <v>756.15501741751905</v>
      </c>
      <c r="P44" s="123">
        <f>O44/1000</f>
        <v>0.756155017417519</v>
      </c>
      <c r="S44" s="1">
        <f>P44*$S$48</f>
        <v>0.32500409335469393</v>
      </c>
      <c r="T44" s="153">
        <v>0.32500409335469393</v>
      </c>
    </row>
    <row r="45" spans="1:20" s="78" customFormat="1" ht="19.899999999999999" customHeight="1" x14ac:dyDescent="0.25">
      <c r="A45" s="108" t="s">
        <v>143</v>
      </c>
      <c r="B45" s="108">
        <v>4.3600000000000003</v>
      </c>
      <c r="C45" s="109">
        <f>ЗП!M10</f>
        <v>154.61664974619285</v>
      </c>
      <c r="D45" s="109">
        <f>B45*C45</f>
        <v>674.12859289340088</v>
      </c>
      <c r="E45" s="109">
        <f>D45*0.302</f>
        <v>203.58683505380705</v>
      </c>
      <c r="F45" s="109">
        <f>'Материалы, инвентарь'!E43</f>
        <v>90.604799999999997</v>
      </c>
      <c r="G45" s="109">
        <f>'Спец одежда'!G13</f>
        <v>3030.048632</v>
      </c>
      <c r="H45" s="126">
        <f>D45*0.4429</f>
        <v>298.57155379248724</v>
      </c>
      <c r="I45" s="126">
        <f>(D45+E45+F45+G45)*0.964</f>
        <v>3854.4275809891083</v>
      </c>
      <c r="J45" s="126">
        <f>D45+E45+F45+G45+H45+I45</f>
        <v>8151.3679947288038</v>
      </c>
      <c r="K45" s="126">
        <f>J45*0.1</f>
        <v>815.1367994728804</v>
      </c>
      <c r="L45" s="126">
        <f>(J45+K45)*0.18</f>
        <v>1613.9708629563031</v>
      </c>
      <c r="M45" s="126" t="s">
        <v>46</v>
      </c>
      <c r="N45" s="122">
        <f>J45+K45+L45</f>
        <v>10580.475657157987</v>
      </c>
      <c r="O45" s="129">
        <f>N45/12</f>
        <v>881.70630476316558</v>
      </c>
      <c r="P45" s="123">
        <f>O45/1000</f>
        <v>0.88170630476316558</v>
      </c>
      <c r="S45" s="1">
        <f>P45*$S$48</f>
        <v>0.37896747569479394</v>
      </c>
      <c r="T45" s="153">
        <v>0.37896747569479394</v>
      </c>
    </row>
    <row r="46" spans="1:20" s="78" customFormat="1" ht="19.899999999999999" customHeight="1" x14ac:dyDescent="0.25">
      <c r="A46" s="132" t="s">
        <v>41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25"/>
      <c r="N46" s="125"/>
      <c r="O46" s="125"/>
      <c r="P46" s="137">
        <f>P47</f>
        <v>1.73</v>
      </c>
      <c r="S46" s="79">
        <f>P46*$S$48</f>
        <v>0.74357382884780132</v>
      </c>
      <c r="T46" s="152">
        <f>T47</f>
        <v>0.74357382884780132</v>
      </c>
    </row>
    <row r="47" spans="1:20" s="78" customFormat="1" ht="19.899999999999999" customHeight="1" x14ac:dyDescent="0.25">
      <c r="A47" s="108" t="s">
        <v>124</v>
      </c>
      <c r="B47" s="106"/>
      <c r="C47" s="108"/>
      <c r="D47" s="109"/>
      <c r="E47" s="109"/>
      <c r="F47" s="109"/>
      <c r="G47" s="109"/>
      <c r="H47" s="109"/>
      <c r="I47" s="109"/>
      <c r="J47" s="109"/>
      <c r="K47" s="109"/>
      <c r="L47" s="109"/>
      <c r="M47" s="126" t="s">
        <v>34</v>
      </c>
      <c r="N47" s="109">
        <f>P47*12*595</f>
        <v>12352.199999999999</v>
      </c>
      <c r="O47" s="129">
        <f>P47*12*595</f>
        <v>12352.199999999999</v>
      </c>
      <c r="P47" s="111">
        <v>1.73</v>
      </c>
      <c r="S47" s="1">
        <f>P47*$S$48</f>
        <v>0.74357382884780132</v>
      </c>
      <c r="T47" s="153">
        <v>0.74357382884780132</v>
      </c>
    </row>
    <row r="48" spans="1:20" ht="19.899999999999999" customHeight="1" x14ac:dyDescent="0.25">
      <c r="A48" s="106" t="s">
        <v>28</v>
      </c>
      <c r="B48" s="108"/>
      <c r="C48" s="108"/>
      <c r="D48" s="109">
        <f>SUM(D16:D47)</f>
        <v>61388.883094416218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>
        <f>SUM(N16:N47)</f>
        <v>614058.90996216238</v>
      </c>
      <c r="O48" s="129">
        <f>P48*12*595</f>
        <v>370367.69242748665</v>
      </c>
      <c r="P48" s="112">
        <f>P15+P20+P28+P40+P43+P46</f>
        <v>51.872225830180199</v>
      </c>
      <c r="Q48" s="141">
        <f>P48-P41-P42</f>
        <v>39.552225830180198</v>
      </c>
      <c r="R48" s="141">
        <f>29.42-2.64-9.78</f>
        <v>17</v>
      </c>
      <c r="S48" s="1">
        <f>R48/Q48</f>
        <v>0.4298114617617349</v>
      </c>
      <c r="T48" s="149">
        <f>T15+T20+T28+T40+T43+T46</f>
        <v>29.421600000000002</v>
      </c>
    </row>
    <row r="49" spans="14:19" x14ac:dyDescent="0.25">
      <c r="N49" s="79"/>
      <c r="O49" s="80"/>
      <c r="P49" s="107"/>
    </row>
    <row r="52" spans="14:19" x14ac:dyDescent="0.25">
      <c r="S52" s="141"/>
    </row>
    <row r="74" spans="4:16" x14ac:dyDescent="0.25"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</row>
    <row r="75" spans="4:16" x14ac:dyDescent="0.25"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</row>
    <row r="76" spans="4:16" x14ac:dyDescent="0.25"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</row>
    <row r="77" spans="4:16" x14ac:dyDescent="0.25"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</row>
    <row r="78" spans="4:16" x14ac:dyDescent="0.25"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</row>
    <row r="79" spans="4:16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</row>
    <row r="80" spans="4:16" x14ac:dyDescent="0.25"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</row>
    <row r="81" spans="4:16" x14ac:dyDescent="0.25"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</row>
    <row r="82" spans="4:16" x14ac:dyDescent="0.25"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</row>
    <row r="83" spans="4:16" x14ac:dyDescent="0.25"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</row>
    <row r="84" spans="4:16" x14ac:dyDescent="0.25"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</row>
    <row r="85" spans="4:16" x14ac:dyDescent="0.25"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</row>
    <row r="86" spans="4:16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 x14ac:dyDescent="0.25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 x14ac:dyDescent="0.25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 x14ac:dyDescent="0.25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 x14ac:dyDescent="0.25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 x14ac:dyDescent="0.25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 x14ac:dyDescent="0.25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 x14ac:dyDescent="0.25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 x14ac:dyDescent="0.25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 x14ac:dyDescent="0.25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  <row r="100" spans="4:16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</row>
    <row r="101" spans="4:16" x14ac:dyDescent="0.25"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</row>
    <row r="102" spans="4:16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</row>
    <row r="103" spans="4:16" x14ac:dyDescent="0.25"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</row>
    <row r="104" spans="4:16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</row>
    <row r="105" spans="4:16" x14ac:dyDescent="0.25"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</row>
    <row r="106" spans="4:16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</row>
    <row r="107" spans="4:16" x14ac:dyDescent="0.25"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</row>
    <row r="108" spans="4:16" x14ac:dyDescent="0.25"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</row>
    <row r="109" spans="4:16" x14ac:dyDescent="0.25"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</row>
    <row r="110" spans="4:16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</row>
    <row r="111" spans="4:16" x14ac:dyDescent="0.25"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</row>
    <row r="112" spans="4:16" x14ac:dyDescent="0.25"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</row>
    <row r="113" spans="4:16" x14ac:dyDescent="0.25"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</row>
    <row r="114" spans="4:16" x14ac:dyDescent="0.25"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</row>
    <row r="115" spans="4:16" x14ac:dyDescent="0.25"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</row>
    <row r="116" spans="4:16" x14ac:dyDescent="0.25"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</row>
    <row r="117" spans="4:16" x14ac:dyDescent="0.25"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</row>
    <row r="118" spans="4:16" x14ac:dyDescent="0.25"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</row>
    <row r="119" spans="4:16" x14ac:dyDescent="0.25"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</row>
    <row r="120" spans="4:16" x14ac:dyDescent="0.25"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</row>
    <row r="121" spans="4:16" x14ac:dyDescent="0.25"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</row>
    <row r="122" spans="4:16" x14ac:dyDescent="0.25"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</row>
    <row r="123" spans="4:16" x14ac:dyDescent="0.25"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</row>
  </sheetData>
  <mergeCells count="9">
    <mergeCell ref="A2:T2"/>
    <mergeCell ref="A3:T3"/>
    <mergeCell ref="A13:T13"/>
    <mergeCell ref="A7:T7"/>
    <mergeCell ref="A8:T8"/>
    <mergeCell ref="A9:T9"/>
    <mergeCell ref="A10:T10"/>
    <mergeCell ref="A11:T11"/>
    <mergeCell ref="A12:T12"/>
  </mergeCells>
  <pageMargins left="0.7" right="0.7" top="0.75" bottom="0.75" header="0.3" footer="0.3"/>
  <pageSetup paperSize="9" scale="70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G117"/>
  <sheetViews>
    <sheetView zoomScaleNormal="100" workbookViewId="0">
      <selection activeCell="A9" sqref="A9:T9"/>
    </sheetView>
  </sheetViews>
  <sheetFormatPr defaultColWidth="9.140625" defaultRowHeight="15" outlineLevelCol="1" x14ac:dyDescent="0.25"/>
  <cols>
    <col min="1" max="1" width="101.7109375" style="1" customWidth="1"/>
    <col min="2" max="2" width="14.5703125" style="1" hidden="1" customWidth="1" outlineLevel="1"/>
    <col min="3" max="3" width="14.85546875" style="1" hidden="1" customWidth="1" outlineLevel="1"/>
    <col min="4" max="8" width="14.85546875" style="7" hidden="1" customWidth="1" outlineLevel="1"/>
    <col min="9" max="10" width="16.28515625" style="7" hidden="1" customWidth="1" outlineLevel="1"/>
    <col min="11" max="11" width="16.42578125" style="7" hidden="1" customWidth="1" outlineLevel="1"/>
    <col min="12" max="12" width="14.85546875" style="7" hidden="1" customWidth="1" outlineLevel="1"/>
    <col min="13" max="13" width="23.7109375" style="7" hidden="1" customWidth="1" outlineLevel="1" collapsed="1"/>
    <col min="14" max="14" width="27" style="1" hidden="1" customWidth="1" outlineLevel="1"/>
    <col min="15" max="15" width="10.42578125" style="81" hidden="1" customWidth="1" outlineLevel="1"/>
    <col min="16" max="16" width="21.5703125" style="82" hidden="1" customWidth="1" collapsed="1"/>
    <col min="17" max="17" width="6.5703125" style="1" hidden="1" customWidth="1"/>
    <col min="18" max="18" width="6.85546875" style="1" hidden="1" customWidth="1"/>
    <col min="19" max="19" width="11.5703125" style="1" hidden="1" customWidth="1"/>
    <col min="20" max="20" width="21.7109375" style="1" customWidth="1"/>
    <col min="21" max="16384" width="9.140625" style="1"/>
  </cols>
  <sheetData>
    <row r="2" spans="1:20" x14ac:dyDescent="0.25">
      <c r="A2" s="155" t="s">
        <v>171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x14ac:dyDescent="0.25">
      <c r="A3" s="155" t="s">
        <v>184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7" spans="1:20" ht="18.75" x14ac:dyDescent="0.3">
      <c r="A7" s="157" t="s">
        <v>122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</row>
    <row r="8" spans="1:20" ht="18.75" x14ac:dyDescent="0.3">
      <c r="A8" s="157" t="s">
        <v>123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</row>
    <row r="9" spans="1:20" ht="18.75" x14ac:dyDescent="0.3">
      <c r="A9" s="157" t="s">
        <v>157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1:20" ht="18.75" x14ac:dyDescent="0.3">
      <c r="A10" s="157" t="s">
        <v>158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1:20" ht="19.5" customHeight="1" x14ac:dyDescent="0.3">
      <c r="A11" s="157" t="s">
        <v>178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1:20" ht="20.25" customHeight="1" x14ac:dyDescent="0.3">
      <c r="A12" s="156" t="s">
        <v>166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ht="17.25" customHeight="1" x14ac:dyDescent="0.3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</row>
    <row r="14" spans="1:20" ht="63.6" customHeight="1" x14ac:dyDescent="0.25">
      <c r="A14" s="128" t="s">
        <v>116</v>
      </c>
      <c r="B14" s="128" t="s">
        <v>90</v>
      </c>
      <c r="C14" s="128" t="s">
        <v>53</v>
      </c>
      <c r="D14" s="134" t="s">
        <v>54</v>
      </c>
      <c r="E14" s="134" t="s">
        <v>26</v>
      </c>
      <c r="F14" s="134" t="s">
        <v>18</v>
      </c>
      <c r="G14" s="134" t="s">
        <v>55</v>
      </c>
      <c r="H14" s="134" t="s">
        <v>153</v>
      </c>
      <c r="I14" s="134" t="s">
        <v>52</v>
      </c>
      <c r="J14" s="134" t="s">
        <v>89</v>
      </c>
      <c r="K14" s="134" t="s">
        <v>25</v>
      </c>
      <c r="L14" s="134" t="s">
        <v>19</v>
      </c>
      <c r="M14" s="134" t="s">
        <v>50</v>
      </c>
      <c r="N14" s="128" t="s">
        <v>0</v>
      </c>
      <c r="O14" s="128" t="s">
        <v>91</v>
      </c>
      <c r="P14" s="135" t="s">
        <v>36</v>
      </c>
      <c r="T14" s="135" t="s">
        <v>36</v>
      </c>
    </row>
    <row r="15" spans="1:20" ht="34.15" customHeight="1" x14ac:dyDescent="0.25">
      <c r="A15" s="113" t="s">
        <v>160</v>
      </c>
      <c r="B15" s="127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27"/>
      <c r="N15" s="127"/>
      <c r="O15" s="127"/>
      <c r="P15" s="112">
        <f>P16+P17+P18+P19+P20+P21</f>
        <v>9.7330186254263378</v>
      </c>
      <c r="S15" s="79">
        <f t="shared" ref="S15:S33" si="0">P15*$S$42</f>
        <v>4.7042850730686521</v>
      </c>
      <c r="T15" s="149">
        <f>T16+T17+T18+T19+T20+T21</f>
        <v>4.7042850730686521</v>
      </c>
    </row>
    <row r="16" spans="1:20" s="25" customFormat="1" ht="19.899999999999999" customHeight="1" x14ac:dyDescent="0.25">
      <c r="A16" s="120" t="s">
        <v>137</v>
      </c>
      <c r="B16" s="140">
        <v>1.89</v>
      </c>
      <c r="C16" s="122">
        <f>ЗП!M10</f>
        <v>154.61664974619285</v>
      </c>
      <c r="D16" s="122">
        <f t="shared" ref="D16:D21" si="1">B16*C16</f>
        <v>292.22546802030445</v>
      </c>
      <c r="E16" s="122">
        <f t="shared" ref="E16:E21" si="2">D16*0.302</f>
        <v>88.252091342131934</v>
      </c>
      <c r="F16" s="122">
        <v>0</v>
      </c>
      <c r="G16" s="122">
        <f>'Спец одежда'!G13</f>
        <v>3030.048632</v>
      </c>
      <c r="H16" s="122">
        <f>D16*0.4429</f>
        <v>129.42665978619286</v>
      </c>
      <c r="I16" s="122">
        <f t="shared" ref="I16:I21" si="3">(D16+E16+F16+G16)*0.964</f>
        <v>3287.7472484733885</v>
      </c>
      <c r="J16" s="122">
        <f t="shared" ref="J16:J21" si="4">D16+E16+F16+G16+H16+I16</f>
        <v>6827.7000996220177</v>
      </c>
      <c r="K16" s="122">
        <f t="shared" ref="K16:K21" si="5">J16*0.1</f>
        <v>682.77000996220181</v>
      </c>
      <c r="L16" s="122">
        <f t="shared" ref="L16:L21" si="6">(J16+K16)*0.18</f>
        <v>1351.8846197251594</v>
      </c>
      <c r="M16" s="122" t="s">
        <v>48</v>
      </c>
      <c r="N16" s="122">
        <f>J16+K16+L16</f>
        <v>8862.3547293093779</v>
      </c>
      <c r="O16" s="122">
        <f>N16/12</f>
        <v>738.52956077578153</v>
      </c>
      <c r="P16" s="123">
        <f t="shared" ref="P16:P18" si="7">O16/1000</f>
        <v>0.73852956077578158</v>
      </c>
      <c r="S16" s="1">
        <f t="shared" si="0"/>
        <v>0.3569554033012316</v>
      </c>
      <c r="T16" s="150">
        <v>0.3569554033012316</v>
      </c>
    </row>
    <row r="17" spans="1:33" ht="19.899999999999999" customHeight="1" x14ac:dyDescent="0.25">
      <c r="A17" s="108" t="s">
        <v>148</v>
      </c>
      <c r="B17" s="140">
        <v>8.34</v>
      </c>
      <c r="C17" s="122">
        <f>ЗП!M10</f>
        <v>154.61664974619285</v>
      </c>
      <c r="D17" s="122">
        <f t="shared" si="1"/>
        <v>1289.5028588832483</v>
      </c>
      <c r="E17" s="122">
        <f t="shared" si="2"/>
        <v>389.42986338274096</v>
      </c>
      <c r="F17" s="122">
        <v>0</v>
      </c>
      <c r="G17" s="122">
        <f>'Спец одежда'!G13</f>
        <v>3030.048632</v>
      </c>
      <c r="H17" s="122">
        <f t="shared" ref="H17:H20" si="8">D17*0.4429</f>
        <v>571.12081619939067</v>
      </c>
      <c r="I17" s="122">
        <f t="shared" si="3"/>
        <v>4539.4580255124138</v>
      </c>
      <c r="J17" s="122">
        <f t="shared" si="4"/>
        <v>9819.5601959777941</v>
      </c>
      <c r="K17" s="122">
        <f t="shared" si="5"/>
        <v>981.95601959777946</v>
      </c>
      <c r="L17" s="122">
        <f t="shared" si="6"/>
        <v>1944.272918803603</v>
      </c>
      <c r="M17" s="122" t="s">
        <v>45</v>
      </c>
      <c r="N17" s="122">
        <f>J17+K17+L17</f>
        <v>12745.789134379176</v>
      </c>
      <c r="O17" s="122">
        <f>N17/12</f>
        <v>1062.1490945315979</v>
      </c>
      <c r="P17" s="123">
        <f t="shared" si="7"/>
        <v>1.0621490945315979</v>
      </c>
      <c r="S17" s="1">
        <f t="shared" si="0"/>
        <v>0.5133712698057753</v>
      </c>
      <c r="T17" s="151">
        <v>0.5133712698057753</v>
      </c>
    </row>
    <row r="18" spans="1:33" s="25" customFormat="1" ht="39" customHeight="1" x14ac:dyDescent="0.25">
      <c r="A18" s="120" t="s">
        <v>145</v>
      </c>
      <c r="B18" s="140">
        <v>0.01</v>
      </c>
      <c r="C18" s="122">
        <f>ЗП!M10</f>
        <v>154.61664974619285</v>
      </c>
      <c r="D18" s="122">
        <f t="shared" si="1"/>
        <v>1.5461664974619285</v>
      </c>
      <c r="E18" s="122">
        <f t="shared" si="2"/>
        <v>0.46694228223350237</v>
      </c>
      <c r="F18" s="122">
        <v>0</v>
      </c>
      <c r="G18" s="122">
        <f>'Спец одежда'!G13</f>
        <v>3030.048632</v>
      </c>
      <c r="H18" s="122">
        <f t="shared" si="8"/>
        <v>0.68479714172588813</v>
      </c>
      <c r="I18" s="122">
        <f t="shared" si="3"/>
        <v>2922.9075181116264</v>
      </c>
      <c r="J18" s="122">
        <f t="shared" si="4"/>
        <v>5955.6540560330477</v>
      </c>
      <c r="K18" s="122">
        <f t="shared" si="5"/>
        <v>595.56540560330484</v>
      </c>
      <c r="L18" s="122">
        <f t="shared" si="6"/>
        <v>1179.2195030945434</v>
      </c>
      <c r="M18" s="122" t="s">
        <v>45</v>
      </c>
      <c r="N18" s="122">
        <f t="shared" ref="N18" si="9">J18+K18+L18</f>
        <v>7730.4389647308953</v>
      </c>
      <c r="O18" s="122">
        <f t="shared" ref="O18" si="10">N18/12</f>
        <v>644.20324706090798</v>
      </c>
      <c r="P18" s="123">
        <f t="shared" si="7"/>
        <v>0.64420324706090804</v>
      </c>
      <c r="S18" s="1">
        <f t="shared" si="0"/>
        <v>0.31136442205649639</v>
      </c>
      <c r="T18" s="150">
        <v>0.31136442205649639</v>
      </c>
    </row>
    <row r="19" spans="1:33" ht="19.899999999999999" customHeight="1" x14ac:dyDescent="0.25">
      <c r="A19" s="108" t="s">
        <v>139</v>
      </c>
      <c r="B19" s="108">
        <v>16.72</v>
      </c>
      <c r="C19" s="109">
        <f>ЗП!M10</f>
        <v>154.61664974619285</v>
      </c>
      <c r="D19" s="122">
        <f t="shared" si="1"/>
        <v>2585.1903837563441</v>
      </c>
      <c r="E19" s="122">
        <f t="shared" si="2"/>
        <v>780.72749589441594</v>
      </c>
      <c r="F19" s="109">
        <v>0</v>
      </c>
      <c r="G19" s="109">
        <f>'Спец одежда'!G13</f>
        <v>3030.048632</v>
      </c>
      <c r="H19" s="122">
        <f t="shared" si="8"/>
        <v>1144.9808209656849</v>
      </c>
      <c r="I19" s="122">
        <f t="shared" si="3"/>
        <v>6165.7117172313328</v>
      </c>
      <c r="J19" s="122">
        <f t="shared" si="4"/>
        <v>13706.659049847778</v>
      </c>
      <c r="K19" s="122">
        <f t="shared" si="5"/>
        <v>1370.6659049847779</v>
      </c>
      <c r="L19" s="122">
        <f t="shared" si="6"/>
        <v>2713.9184918698602</v>
      </c>
      <c r="M19" s="126" t="s">
        <v>33</v>
      </c>
      <c r="N19" s="122">
        <f>J19+K19+L19</f>
        <v>17791.243446702418</v>
      </c>
      <c r="O19" s="129">
        <f>N19/12</f>
        <v>1482.6036205585349</v>
      </c>
      <c r="P19" s="123">
        <f>O19/1000</f>
        <v>1.4826036205585349</v>
      </c>
      <c r="S19" s="1">
        <f t="shared" si="0"/>
        <v>0.71659064365198888</v>
      </c>
      <c r="T19" s="151">
        <v>0.71659064365198888</v>
      </c>
    </row>
    <row r="20" spans="1:33" ht="19.899999999999999" customHeight="1" x14ac:dyDescent="0.25">
      <c r="A20" s="108" t="s">
        <v>140</v>
      </c>
      <c r="B20" s="108">
        <v>49.01</v>
      </c>
      <c r="C20" s="109">
        <f>ЗП!M10</f>
        <v>154.61664974619285</v>
      </c>
      <c r="D20" s="122">
        <f t="shared" si="1"/>
        <v>7577.7620040609108</v>
      </c>
      <c r="E20" s="122">
        <f t="shared" si="2"/>
        <v>2288.484125226395</v>
      </c>
      <c r="F20" s="109">
        <v>0</v>
      </c>
      <c r="G20" s="109">
        <f>'Спец одежда'!G13</f>
        <v>3030.048632</v>
      </c>
      <c r="H20" s="122">
        <f t="shared" si="8"/>
        <v>3356.1907915985776</v>
      </c>
      <c r="I20" s="122">
        <f t="shared" si="3"/>
        <v>12432.028149880962</v>
      </c>
      <c r="J20" s="122">
        <f t="shared" si="4"/>
        <v>28684.513702766846</v>
      </c>
      <c r="K20" s="122">
        <f t="shared" si="5"/>
        <v>2868.4513702766849</v>
      </c>
      <c r="L20" s="122">
        <f t="shared" si="6"/>
        <v>5679.5337131478354</v>
      </c>
      <c r="M20" s="126" t="s">
        <v>33</v>
      </c>
      <c r="N20" s="122">
        <f>J20+K20+L20</f>
        <v>37232.498786191369</v>
      </c>
      <c r="O20" s="129">
        <f>N20/12</f>
        <v>3102.7082321826142</v>
      </c>
      <c r="P20" s="123">
        <f t="shared" ref="P20:P21" si="11">O20/1000</f>
        <v>3.1027082321826143</v>
      </c>
      <c r="S20" s="1">
        <f t="shared" si="0"/>
        <v>1.4996399970522551</v>
      </c>
      <c r="T20" s="151">
        <v>1.4996399970522551</v>
      </c>
    </row>
    <row r="21" spans="1:33" ht="19.899999999999999" customHeight="1" x14ac:dyDescent="0.25">
      <c r="A21" s="108" t="s">
        <v>141</v>
      </c>
      <c r="B21" s="108">
        <v>41.04</v>
      </c>
      <c r="C21" s="109">
        <f>ЗП!M10</f>
        <v>154.61664974619285</v>
      </c>
      <c r="D21" s="122">
        <f t="shared" si="1"/>
        <v>6345.4673055837548</v>
      </c>
      <c r="E21" s="122">
        <f t="shared" si="2"/>
        <v>1916.331126286294</v>
      </c>
      <c r="F21" s="109">
        <v>0</v>
      </c>
      <c r="G21" s="109">
        <f>'Спец одежда'!G13</f>
        <v>3030.048632</v>
      </c>
      <c r="H21" s="122">
        <f>D21*0.4429</f>
        <v>2810.4074696430453</v>
      </c>
      <c r="I21" s="122">
        <f t="shared" si="3"/>
        <v>10885.340569570728</v>
      </c>
      <c r="J21" s="122">
        <f t="shared" si="4"/>
        <v>24987.595103083822</v>
      </c>
      <c r="K21" s="122">
        <f t="shared" si="5"/>
        <v>2498.7595103083822</v>
      </c>
      <c r="L21" s="122">
        <f t="shared" si="6"/>
        <v>4947.5438304105974</v>
      </c>
      <c r="M21" s="126" t="s">
        <v>44</v>
      </c>
      <c r="N21" s="122">
        <f>J21+K21+L21</f>
        <v>32433.898443802806</v>
      </c>
      <c r="O21" s="129">
        <f>N21/12</f>
        <v>2702.8248703169006</v>
      </c>
      <c r="P21" s="123">
        <f t="shared" si="11"/>
        <v>2.7028248703169004</v>
      </c>
      <c r="S21" s="1">
        <f t="shared" si="0"/>
        <v>1.3063633372009045</v>
      </c>
      <c r="T21" s="151">
        <v>1.3063633372009045</v>
      </c>
    </row>
    <row r="22" spans="1:33" s="78" customFormat="1" ht="19.899999999999999" customHeight="1" x14ac:dyDescent="0.25">
      <c r="A22" s="118" t="s">
        <v>164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36">
        <f>P23+P24+P25+P26+P27+P28+P29+P30+P31</f>
        <v>13.278471122041653</v>
      </c>
      <c r="S22" s="79">
        <f t="shared" si="0"/>
        <v>6.4179178008978184</v>
      </c>
      <c r="T22" s="152">
        <f>T23+T24+T25+T26+T27+T28+T29+T30+T31</f>
        <v>6.4179178008978184</v>
      </c>
    </row>
    <row r="23" spans="1:33" ht="19.899999999999999" customHeight="1" x14ac:dyDescent="0.25">
      <c r="A23" s="108" t="s">
        <v>132</v>
      </c>
      <c r="B23" s="108">
        <v>0.39</v>
      </c>
      <c r="C23" s="109">
        <f>ЗП!M11</f>
        <v>155.61502538071065</v>
      </c>
      <c r="D23" s="126">
        <f>B23*C23</f>
        <v>60.689859898477152</v>
      </c>
      <c r="E23" s="126">
        <f t="shared" ref="E23:E30" si="12">D23*0.302</f>
        <v>18.328337689340099</v>
      </c>
      <c r="F23" s="109">
        <v>0</v>
      </c>
      <c r="G23" s="109">
        <f>'Спец одежда'!G35</f>
        <v>3077.8574320000002</v>
      </c>
      <c r="H23" s="126">
        <f>D23*0.4429</f>
        <v>26.879538949035531</v>
      </c>
      <c r="I23" s="126">
        <f t="shared" ref="I23:I30" si="13">(D23+E23+F23+G23)*0.964</f>
        <v>3043.228106922656</v>
      </c>
      <c r="J23" s="126">
        <f t="shared" ref="J23:J30" si="14">D23+E23+F23+G23+H23+I23</f>
        <v>6226.9832754595091</v>
      </c>
      <c r="K23" s="126">
        <f t="shared" ref="K23:K30" si="15">J23*0.1</f>
        <v>622.69832754595097</v>
      </c>
      <c r="L23" s="126">
        <f t="shared" ref="L23:L30" si="16">(J23+K23)*0.18</f>
        <v>1232.9426885409828</v>
      </c>
      <c r="M23" s="122" t="s">
        <v>32</v>
      </c>
      <c r="N23" s="122">
        <f t="shared" ref="N23:N25" si="17">J23+K23+L23</f>
        <v>8082.6242915464427</v>
      </c>
      <c r="O23" s="129">
        <f t="shared" ref="O23:O25" si="18">N23/12</f>
        <v>673.55202429553685</v>
      </c>
      <c r="P23" s="123">
        <f t="shared" ref="P23:P25" si="19">O23/1000</f>
        <v>0.67355202429553684</v>
      </c>
      <c r="Q23" s="78"/>
      <c r="R23" s="78"/>
      <c r="S23" s="1">
        <f t="shared" si="0"/>
        <v>0.32554964248718615</v>
      </c>
      <c r="T23" s="153">
        <v>0.32554964248718615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ht="19.899999999999999" customHeight="1" x14ac:dyDescent="0.25">
      <c r="A24" s="108" t="s">
        <v>142</v>
      </c>
      <c r="B24" s="108">
        <v>9.8000000000000007</v>
      </c>
      <c r="C24" s="109">
        <f>ЗП!M11</f>
        <v>155.61502538071065</v>
      </c>
      <c r="D24" s="126">
        <f>B24*C24</f>
        <v>1525.0272487309644</v>
      </c>
      <c r="E24" s="126">
        <f t="shared" si="12"/>
        <v>460.55822911675125</v>
      </c>
      <c r="F24" s="109">
        <v>0</v>
      </c>
      <c r="G24" s="109">
        <f>'Спец одежда'!G35</f>
        <v>3077.8574320000002</v>
      </c>
      <c r="H24" s="126">
        <f t="shared" ref="H24:H25" si="20">D24*0.4429</f>
        <v>675.43456846294418</v>
      </c>
      <c r="I24" s="126">
        <f t="shared" si="13"/>
        <v>4881.1589650931983</v>
      </c>
      <c r="J24" s="126">
        <f t="shared" si="14"/>
        <v>10620.036443403858</v>
      </c>
      <c r="K24" s="126">
        <f t="shared" si="15"/>
        <v>1062.0036443403858</v>
      </c>
      <c r="L24" s="126">
        <f t="shared" si="16"/>
        <v>2102.7672157939637</v>
      </c>
      <c r="M24" s="122"/>
      <c r="N24" s="122">
        <f t="shared" si="17"/>
        <v>13784.807303538208</v>
      </c>
      <c r="O24" s="129">
        <f t="shared" si="18"/>
        <v>1148.7339419615173</v>
      </c>
      <c r="P24" s="123">
        <f t="shared" si="19"/>
        <v>1.1487339419615172</v>
      </c>
      <c r="Q24" s="78"/>
      <c r="R24" s="78"/>
      <c r="S24" s="1">
        <f t="shared" si="0"/>
        <v>0.55522054812261967</v>
      </c>
      <c r="T24" s="153">
        <v>0.55522054812261967</v>
      </c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 ht="19.899999999999999" customHeight="1" x14ac:dyDescent="0.25">
      <c r="A25" s="108" t="s">
        <v>130</v>
      </c>
      <c r="B25" s="138">
        <v>4</v>
      </c>
      <c r="C25" s="109">
        <f>ЗП!M10</f>
        <v>154.61664974619285</v>
      </c>
      <c r="D25" s="126">
        <f>B25*C25</f>
        <v>618.46659898477139</v>
      </c>
      <c r="E25" s="126">
        <f t="shared" si="12"/>
        <v>186.77691289340095</v>
      </c>
      <c r="F25" s="109">
        <v>0</v>
      </c>
      <c r="G25" s="109">
        <f>'Спец одежда'!G35</f>
        <v>3077.8574320000002</v>
      </c>
      <c r="H25" s="126">
        <f t="shared" si="20"/>
        <v>273.91885669035526</v>
      </c>
      <c r="I25" s="126">
        <f t="shared" si="13"/>
        <v>3743.3093098985582</v>
      </c>
      <c r="J25" s="126">
        <f t="shared" si="14"/>
        <v>7900.3291104670861</v>
      </c>
      <c r="K25" s="126">
        <f t="shared" si="15"/>
        <v>790.0329110467087</v>
      </c>
      <c r="L25" s="126">
        <f t="shared" si="16"/>
        <v>1564.2651638724828</v>
      </c>
      <c r="M25" s="122" t="s">
        <v>32</v>
      </c>
      <c r="N25" s="122">
        <f t="shared" si="17"/>
        <v>10254.627185386278</v>
      </c>
      <c r="O25" s="129">
        <f t="shared" si="18"/>
        <v>854.55226544885647</v>
      </c>
      <c r="P25" s="123">
        <f t="shared" si="19"/>
        <v>0.85455226544885643</v>
      </c>
      <c r="Q25" s="78"/>
      <c r="R25" s="78"/>
      <c r="S25" s="1">
        <f t="shared" si="0"/>
        <v>0.41303295731975076</v>
      </c>
      <c r="T25" s="153">
        <v>0.41303295731975076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s="78" customFormat="1" ht="19.899999999999999" customHeight="1" x14ac:dyDescent="0.25">
      <c r="A26" s="120" t="s">
        <v>129</v>
      </c>
      <c r="B26" s="108">
        <v>7.54</v>
      </c>
      <c r="C26" s="109">
        <f>ЗП!M9</f>
        <v>155.61502538071065</v>
      </c>
      <c r="D26" s="109">
        <f>B26*C26</f>
        <v>1173.3372913705582</v>
      </c>
      <c r="E26" s="109">
        <f t="shared" si="12"/>
        <v>354.34786199390857</v>
      </c>
      <c r="F26" s="109">
        <v>0</v>
      </c>
      <c r="G26" s="109">
        <f>'Спец одежда'!G25</f>
        <v>3277.048632</v>
      </c>
      <c r="H26" s="126">
        <f>D26*0.4429</f>
        <v>519.67108634802025</v>
      </c>
      <c r="I26" s="126">
        <f t="shared" si="13"/>
        <v>4631.7633690913453</v>
      </c>
      <c r="J26" s="126">
        <f t="shared" si="14"/>
        <v>9956.1682408038323</v>
      </c>
      <c r="K26" s="126">
        <f t="shared" si="15"/>
        <v>995.61682408038325</v>
      </c>
      <c r="L26" s="126">
        <f t="shared" si="16"/>
        <v>1971.3213116791587</v>
      </c>
      <c r="M26" s="126" t="s">
        <v>33</v>
      </c>
      <c r="N26" s="122">
        <f>J26+K26+L26</f>
        <v>12923.106376563375</v>
      </c>
      <c r="O26" s="129">
        <f>N26/12</f>
        <v>1076.9255313802812</v>
      </c>
      <c r="P26" s="123">
        <f>O26/1000</f>
        <v>1.0769255313802812</v>
      </c>
      <c r="S26" s="1">
        <f t="shared" si="0"/>
        <v>0.5205132032568025</v>
      </c>
      <c r="T26" s="153">
        <v>0.5205132032568025</v>
      </c>
    </row>
    <row r="27" spans="1:33" s="78" customFormat="1" ht="39" customHeight="1" x14ac:dyDescent="0.25">
      <c r="A27" s="108" t="s">
        <v>146</v>
      </c>
      <c r="B27" s="108">
        <v>31.8</v>
      </c>
      <c r="C27" s="109">
        <f>ЗП!M9</f>
        <v>155.61502538071065</v>
      </c>
      <c r="D27" s="109">
        <f>B27*C27</f>
        <v>4948.5578071065984</v>
      </c>
      <c r="E27" s="109">
        <f t="shared" si="12"/>
        <v>1494.4644577461927</v>
      </c>
      <c r="F27" s="109">
        <v>0</v>
      </c>
      <c r="G27" s="109">
        <f>'Спец одежда'!G25</f>
        <v>3277.048632</v>
      </c>
      <c r="H27" s="126">
        <f>D27*0.4429</f>
        <v>2191.7162527675123</v>
      </c>
      <c r="I27" s="126">
        <f t="shared" si="13"/>
        <v>9370.1483445660906</v>
      </c>
      <c r="J27" s="126">
        <f t="shared" si="14"/>
        <v>21281.935494186393</v>
      </c>
      <c r="K27" s="126">
        <f t="shared" si="15"/>
        <v>2128.1935494186396</v>
      </c>
      <c r="L27" s="126">
        <f t="shared" si="16"/>
        <v>4213.8232278489058</v>
      </c>
      <c r="M27" s="122" t="s">
        <v>43</v>
      </c>
      <c r="N27" s="122">
        <f>J27+K27+L27</f>
        <v>27623.952271453938</v>
      </c>
      <c r="O27" s="129">
        <f>N27/12</f>
        <v>2301.9960226211615</v>
      </c>
      <c r="P27" s="123">
        <f>O27/1000</f>
        <v>2.3019960226211613</v>
      </c>
      <c r="S27" s="1">
        <f t="shared" si="0"/>
        <v>1.112629693237208</v>
      </c>
      <c r="T27" s="153">
        <v>1.112629693237208</v>
      </c>
    </row>
    <row r="28" spans="1:33" ht="19.899999999999999" customHeight="1" x14ac:dyDescent="0.25">
      <c r="A28" s="130" t="s">
        <v>128</v>
      </c>
      <c r="B28" s="108">
        <v>19.86</v>
      </c>
      <c r="C28" s="109">
        <f>ЗП!M9</f>
        <v>155.61502538071065</v>
      </c>
      <c r="D28" s="109">
        <f>B28*C28*2</f>
        <v>6181.0288081218268</v>
      </c>
      <c r="E28" s="109">
        <f t="shared" si="12"/>
        <v>1866.6707000527917</v>
      </c>
      <c r="F28" s="109">
        <f>'Материалы, инвентарь'!E33</f>
        <v>1356.24</v>
      </c>
      <c r="G28" s="109">
        <f>'Спец одежда'!G25</f>
        <v>3277.048632</v>
      </c>
      <c r="H28" s="126">
        <f t="shared" ref="H28:H29" si="21">D28*0.4429</f>
        <v>2737.5776591171571</v>
      </c>
      <c r="I28" s="126">
        <f t="shared" si="13"/>
        <v>12224.472567128332</v>
      </c>
      <c r="J28" s="126">
        <f t="shared" si="14"/>
        <v>27643.038366420107</v>
      </c>
      <c r="K28" s="126">
        <f t="shared" si="15"/>
        <v>2764.303836642011</v>
      </c>
      <c r="L28" s="126">
        <f t="shared" si="16"/>
        <v>5473.3215965511808</v>
      </c>
      <c r="M28" s="122"/>
      <c r="N28" s="122">
        <f>J28+K28+L28</f>
        <v>35880.663799613299</v>
      </c>
      <c r="O28" s="129">
        <f>N28/12</f>
        <v>2990.0553166344416</v>
      </c>
      <c r="P28" s="123">
        <f>O28/1000</f>
        <v>2.9900553166344417</v>
      </c>
      <c r="S28" s="1">
        <f t="shared" si="0"/>
        <v>1.4451911719296466</v>
      </c>
      <c r="T28" s="151">
        <v>1.4451911719296466</v>
      </c>
    </row>
    <row r="29" spans="1:33" ht="19.899999999999999" customHeight="1" x14ac:dyDescent="0.25">
      <c r="A29" s="131" t="s">
        <v>149</v>
      </c>
      <c r="B29" s="108">
        <v>2.8</v>
      </c>
      <c r="C29" s="109">
        <f>ЗП!M9</f>
        <v>155.61502538071065</v>
      </c>
      <c r="D29" s="109">
        <f>B29*C29</f>
        <v>435.72207106598978</v>
      </c>
      <c r="E29" s="109">
        <f t="shared" si="12"/>
        <v>131.58806546192892</v>
      </c>
      <c r="F29" s="109">
        <v>0</v>
      </c>
      <c r="G29" s="109">
        <f>'Спец одежда'!G35</f>
        <v>3077.8574320000002</v>
      </c>
      <c r="H29" s="126">
        <f t="shared" si="21"/>
        <v>192.98130527512689</v>
      </c>
      <c r="I29" s="126">
        <f t="shared" si="13"/>
        <v>3513.9415360609137</v>
      </c>
      <c r="J29" s="126">
        <f t="shared" si="14"/>
        <v>7352.0904098639594</v>
      </c>
      <c r="K29" s="126">
        <f t="shared" si="15"/>
        <v>735.20904098639596</v>
      </c>
      <c r="L29" s="126">
        <f t="shared" si="16"/>
        <v>1455.7139011530639</v>
      </c>
      <c r="M29" s="122" t="s">
        <v>31</v>
      </c>
      <c r="N29" s="122">
        <f>J29+K29+L29</f>
        <v>9543.0133520034196</v>
      </c>
      <c r="O29" s="129">
        <f>N29/12</f>
        <v>795.2511126669516</v>
      </c>
      <c r="P29" s="123">
        <f>O29/1000</f>
        <v>0.79525111266695159</v>
      </c>
      <c r="S29" s="1">
        <f t="shared" si="0"/>
        <v>0.38437077772431627</v>
      </c>
      <c r="T29" s="151">
        <v>0.38437077772431627</v>
      </c>
    </row>
    <row r="30" spans="1:33" s="78" customFormat="1" ht="32.450000000000003" customHeight="1" x14ac:dyDescent="0.25">
      <c r="A30" s="108" t="s">
        <v>147</v>
      </c>
      <c r="B30" s="108">
        <f>1.98+3.76</f>
        <v>5.74</v>
      </c>
      <c r="C30" s="109">
        <f>ЗП!M9+ЗП!M12</f>
        <v>311.2300507614213</v>
      </c>
      <c r="D30" s="109">
        <f>B30*C30</f>
        <v>1786.4604913705582</v>
      </c>
      <c r="E30" s="109">
        <f t="shared" si="12"/>
        <v>539.51106839390854</v>
      </c>
      <c r="F30" s="109">
        <v>0</v>
      </c>
      <c r="G30" s="109">
        <f>'Спец одежда'!G49+'Спец одежда'!G25</f>
        <v>6869.1860639999995</v>
      </c>
      <c r="H30" s="126">
        <f>D30*0.4429</f>
        <v>791.22335162802028</v>
      </c>
      <c r="I30" s="126">
        <f t="shared" si="13"/>
        <v>8864.131949308945</v>
      </c>
      <c r="J30" s="126">
        <f t="shared" si="14"/>
        <v>18850.512924701434</v>
      </c>
      <c r="K30" s="126">
        <f t="shared" si="15"/>
        <v>1885.0512924701434</v>
      </c>
      <c r="L30" s="126">
        <f t="shared" si="16"/>
        <v>3732.4015590908839</v>
      </c>
      <c r="M30" s="122" t="s">
        <v>34</v>
      </c>
      <c r="N30" s="122">
        <f>J30+K30+L30</f>
        <v>24467.965776262463</v>
      </c>
      <c r="O30" s="129">
        <f>N30/12</f>
        <v>2038.9971480218719</v>
      </c>
      <c r="P30" s="123">
        <f>O30/1000</f>
        <v>2.0389971480218718</v>
      </c>
      <c r="S30" s="1">
        <f t="shared" si="0"/>
        <v>0.98551376675791402</v>
      </c>
      <c r="T30" s="153">
        <v>0.98551376675791402</v>
      </c>
    </row>
    <row r="31" spans="1:33" s="78" customFormat="1" ht="19.899999999999999" customHeight="1" x14ac:dyDescent="0.25">
      <c r="A31" s="110" t="s">
        <v>127</v>
      </c>
      <c r="B31" s="108"/>
      <c r="C31" s="138"/>
      <c r="D31" s="138"/>
      <c r="E31" s="138"/>
      <c r="F31" s="138"/>
      <c r="G31" s="138"/>
      <c r="H31" s="122"/>
      <c r="I31" s="122"/>
      <c r="J31" s="122"/>
      <c r="K31" s="122"/>
      <c r="L31" s="122"/>
      <c r="M31" s="126"/>
      <c r="N31" s="122"/>
      <c r="O31" s="129"/>
      <c r="P31" s="123">
        <f>P32+P33</f>
        <v>1.3984077590110338</v>
      </c>
      <c r="S31" s="1">
        <f t="shared" si="0"/>
        <v>0.67589604006237392</v>
      </c>
      <c r="T31" s="153">
        <v>0.67589604006237392</v>
      </c>
    </row>
    <row r="32" spans="1:33" s="78" customFormat="1" ht="19.899999999999999" customHeight="1" x14ac:dyDescent="0.25">
      <c r="A32" s="110" t="s">
        <v>150</v>
      </c>
      <c r="B32" s="108">
        <v>0.06</v>
      </c>
      <c r="C32" s="109">
        <f>ЗП!M9</f>
        <v>155.61502538071065</v>
      </c>
      <c r="D32" s="109">
        <f>B32*C32</f>
        <v>9.3369015228426377</v>
      </c>
      <c r="E32" s="109">
        <f>D32*0.302</f>
        <v>2.8197442598984765</v>
      </c>
      <c r="F32" s="109">
        <v>0</v>
      </c>
      <c r="G32" s="109">
        <f>'Спец одежда'!G25</f>
        <v>3277.048632</v>
      </c>
      <c r="H32" s="126">
        <f>D32*0.4429</f>
        <v>4.135313684467004</v>
      </c>
      <c r="I32" s="126">
        <f>(D32+E32+F32+G32)*0.964</f>
        <v>3170.7938877825623</v>
      </c>
      <c r="J32" s="126">
        <f>D32+E32+F32+G32+H32+I32</f>
        <v>6464.1344792497703</v>
      </c>
      <c r="K32" s="126">
        <f>J32*0.1</f>
        <v>646.41344792497705</v>
      </c>
      <c r="L32" s="126">
        <f>(J32+K32)*0.18</f>
        <v>1279.8986268914543</v>
      </c>
      <c r="M32" s="126" t="s">
        <v>144</v>
      </c>
      <c r="N32" s="122">
        <f>J32+K32+L32</f>
        <v>8390.4465540662022</v>
      </c>
      <c r="O32" s="129">
        <f>N32/12</f>
        <v>699.20387950551685</v>
      </c>
      <c r="P32" s="123">
        <f>O32/1000</f>
        <v>0.69920387950551688</v>
      </c>
      <c r="S32" s="1">
        <f t="shared" si="0"/>
        <v>0.33794802003118696</v>
      </c>
      <c r="T32" s="153">
        <v>0.33794802003118696</v>
      </c>
    </row>
    <row r="33" spans="1:20" s="78" customFormat="1" ht="15.75" x14ac:dyDescent="0.25">
      <c r="A33" s="110" t="s">
        <v>151</v>
      </c>
      <c r="B33" s="108">
        <v>0.06</v>
      </c>
      <c r="C33" s="109">
        <f>ЗП!M9</f>
        <v>155.61502538071065</v>
      </c>
      <c r="D33" s="109">
        <f>B33*C33</f>
        <v>9.3369015228426377</v>
      </c>
      <c r="E33" s="109">
        <f>D33*0.302</f>
        <v>2.8197442598984765</v>
      </c>
      <c r="F33" s="109">
        <v>0</v>
      </c>
      <c r="G33" s="109">
        <f>'Спец одежда'!G25</f>
        <v>3277.048632</v>
      </c>
      <c r="H33" s="126">
        <f>D33*0.4429</f>
        <v>4.135313684467004</v>
      </c>
      <c r="I33" s="126">
        <f>(D33+E33+F33+G33)*0.964</f>
        <v>3170.7938877825623</v>
      </c>
      <c r="J33" s="126">
        <f>D33+E33+F33+G33+H33+I33</f>
        <v>6464.1344792497703</v>
      </c>
      <c r="K33" s="126">
        <f>J33*0.1</f>
        <v>646.41344792497705</v>
      </c>
      <c r="L33" s="126">
        <f>(J33+K33)*0.18</f>
        <v>1279.8986268914543</v>
      </c>
      <c r="M33" s="126" t="s">
        <v>144</v>
      </c>
      <c r="N33" s="122">
        <f>J33+K33+L33</f>
        <v>8390.4465540662022</v>
      </c>
      <c r="O33" s="129">
        <f>N33/12</f>
        <v>699.20387950551685</v>
      </c>
      <c r="P33" s="123">
        <f>O33/1000</f>
        <v>0.69920387950551688</v>
      </c>
      <c r="S33" s="1">
        <f t="shared" si="0"/>
        <v>0.33794802003118696</v>
      </c>
      <c r="T33" s="153">
        <v>0.33794802003118696</v>
      </c>
    </row>
    <row r="34" spans="1:20" s="78" customFormat="1" ht="15.75" x14ac:dyDescent="0.25">
      <c r="A34" s="132" t="s">
        <v>163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25"/>
      <c r="N34" s="125"/>
      <c r="O34" s="125"/>
      <c r="P34" s="137">
        <f>P35+P36</f>
        <v>12.32</v>
      </c>
      <c r="S34" s="79"/>
      <c r="T34" s="152">
        <f>T35+T36</f>
        <v>12.4216</v>
      </c>
    </row>
    <row r="35" spans="1:20" s="78" customFormat="1" ht="15.75" x14ac:dyDescent="0.25">
      <c r="A35" s="108" t="s">
        <v>126</v>
      </c>
      <c r="B35" s="106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26"/>
      <c r="N35" s="122">
        <f>O35*12</f>
        <v>30480</v>
      </c>
      <c r="O35" s="122">
        <f>P35*1000</f>
        <v>2540</v>
      </c>
      <c r="P35" s="111">
        <f>2.54</f>
        <v>2.54</v>
      </c>
      <c r="S35" s="1"/>
      <c r="T35" s="153">
        <f>P35*1.04</f>
        <v>2.6415999999999999</v>
      </c>
    </row>
    <row r="36" spans="1:20" s="78" customFormat="1" ht="15.75" x14ac:dyDescent="0.25">
      <c r="A36" s="108" t="s">
        <v>125</v>
      </c>
      <c r="B36" s="106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26"/>
      <c r="N36" s="122">
        <f>O36*12</f>
        <v>117360</v>
      </c>
      <c r="O36" s="122">
        <f>P36*1000</f>
        <v>9780</v>
      </c>
      <c r="P36" s="111">
        <v>9.7799999999999994</v>
      </c>
      <c r="S36" s="1"/>
      <c r="T36" s="153">
        <f>P36</f>
        <v>9.7799999999999994</v>
      </c>
    </row>
    <row r="37" spans="1:20" s="78" customFormat="1" ht="15.75" x14ac:dyDescent="0.25">
      <c r="A37" s="132" t="s">
        <v>162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25"/>
      <c r="N37" s="125"/>
      <c r="O37" s="125"/>
      <c r="P37" s="137">
        <f>P38+P39</f>
        <v>1.6378613221806846</v>
      </c>
      <c r="S37" s="79">
        <f>P37*$S$42</f>
        <v>0.7916317502529775</v>
      </c>
      <c r="T37" s="152">
        <f>T38+T39</f>
        <v>0.7916317502529775</v>
      </c>
    </row>
    <row r="38" spans="1:20" s="78" customFormat="1" ht="15.75" x14ac:dyDescent="0.25">
      <c r="A38" s="108" t="s">
        <v>152</v>
      </c>
      <c r="B38" s="108">
        <v>1.58</v>
      </c>
      <c r="C38" s="109">
        <f>ЗП!M10</f>
        <v>154.61664974619285</v>
      </c>
      <c r="D38" s="109">
        <f>B38*C38</f>
        <v>244.29430659898472</v>
      </c>
      <c r="E38" s="109">
        <f>D38*0.302</f>
        <v>73.776880592893377</v>
      </c>
      <c r="F38" s="109">
        <f>'Материалы, инвентарь'!E39</f>
        <v>156.1823</v>
      </c>
      <c r="G38" s="109">
        <f>'Спец одежда'!G13</f>
        <v>3030.048632</v>
      </c>
      <c r="H38" s="126">
        <f>D38*0.4429</f>
        <v>108.19794839269034</v>
      </c>
      <c r="I38" s="126">
        <f>(D38+E38+F38+G38)*0.964</f>
        <v>3378.14724290097</v>
      </c>
      <c r="J38" s="126">
        <f>D38+E38+F38+G38+H38+I38</f>
        <v>6990.6473104855377</v>
      </c>
      <c r="K38" s="126">
        <f>J38*0.1</f>
        <v>699.06473104855377</v>
      </c>
      <c r="L38" s="126">
        <f>(J38+K38)*0.18</f>
        <v>1384.1481674761365</v>
      </c>
      <c r="M38" s="126" t="s">
        <v>32</v>
      </c>
      <c r="N38" s="122">
        <f>J38+K38+L38</f>
        <v>9073.8602090102286</v>
      </c>
      <c r="O38" s="129">
        <f>N38/12</f>
        <v>756.15501741751905</v>
      </c>
      <c r="P38" s="123">
        <f>O38/1000</f>
        <v>0.756155017417519</v>
      </c>
      <c r="S38" s="1">
        <f>P38*$S$42</f>
        <v>0.36547436085969537</v>
      </c>
      <c r="T38" s="153">
        <v>0.36547436085969537</v>
      </c>
    </row>
    <row r="39" spans="1:20" s="78" customFormat="1" ht="15.75" x14ac:dyDescent="0.25">
      <c r="A39" s="108" t="s">
        <v>143</v>
      </c>
      <c r="B39" s="108">
        <v>4.3600000000000003</v>
      </c>
      <c r="C39" s="109">
        <f>ЗП!M10</f>
        <v>154.61664974619285</v>
      </c>
      <c r="D39" s="109">
        <f>B39*C39</f>
        <v>674.12859289340088</v>
      </c>
      <c r="E39" s="109">
        <f>D39*0.302</f>
        <v>203.58683505380705</v>
      </c>
      <c r="F39" s="109">
        <f>'Материалы, инвентарь'!E43</f>
        <v>90.604799999999997</v>
      </c>
      <c r="G39" s="109">
        <f>'Спец одежда'!G13</f>
        <v>3030.048632</v>
      </c>
      <c r="H39" s="126">
        <f>D39*0.4429</f>
        <v>298.57155379248724</v>
      </c>
      <c r="I39" s="126">
        <f>(D39+E39+F39+G39)*0.964</f>
        <v>3854.4275809891083</v>
      </c>
      <c r="J39" s="126">
        <f>D39+E39+F39+G39+H39+I39</f>
        <v>8151.3679947288038</v>
      </c>
      <c r="K39" s="126">
        <f>J39*0.1</f>
        <v>815.1367994728804</v>
      </c>
      <c r="L39" s="126">
        <f>(J39+K39)*0.18</f>
        <v>1613.9708629563031</v>
      </c>
      <c r="M39" s="126" t="s">
        <v>46</v>
      </c>
      <c r="N39" s="122">
        <f>J39+K39+L39</f>
        <v>10580.475657157987</v>
      </c>
      <c r="O39" s="129">
        <f>N39/12</f>
        <v>881.70630476316558</v>
      </c>
      <c r="P39" s="123">
        <f>O39/1000</f>
        <v>0.88170630476316558</v>
      </c>
      <c r="S39" s="1">
        <f>P39*$S$42</f>
        <v>0.42615738939328218</v>
      </c>
      <c r="T39" s="153">
        <v>0.42615738939328218</v>
      </c>
    </row>
    <row r="40" spans="1:20" s="78" customFormat="1" ht="15.75" x14ac:dyDescent="0.25">
      <c r="A40" s="132" t="s">
        <v>161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25"/>
      <c r="N40" s="125"/>
      <c r="O40" s="125"/>
      <c r="P40" s="137">
        <f>P41</f>
        <v>1.73</v>
      </c>
      <c r="S40" s="79">
        <f>P40*$S$42</f>
        <v>0.83616537578055639</v>
      </c>
      <c r="T40" s="152">
        <f>T41</f>
        <v>0.83616537578055639</v>
      </c>
    </row>
    <row r="41" spans="1:20" s="78" customFormat="1" ht="15.75" x14ac:dyDescent="0.25">
      <c r="A41" s="108" t="s">
        <v>124</v>
      </c>
      <c r="B41" s="106"/>
      <c r="C41" s="108"/>
      <c r="D41" s="109"/>
      <c r="E41" s="109"/>
      <c r="F41" s="109"/>
      <c r="G41" s="109"/>
      <c r="H41" s="109"/>
      <c r="I41" s="109"/>
      <c r="J41" s="109"/>
      <c r="K41" s="109"/>
      <c r="L41" s="109"/>
      <c r="M41" s="126" t="s">
        <v>34</v>
      </c>
      <c r="N41" s="109">
        <f>P41*12*595</f>
        <v>12352.199999999999</v>
      </c>
      <c r="O41" s="129">
        <f>P41*12*595</f>
        <v>12352.199999999999</v>
      </c>
      <c r="P41" s="111">
        <v>1.73</v>
      </c>
      <c r="S41" s="1">
        <f>P41*$S$42</f>
        <v>0.83616537578055639</v>
      </c>
      <c r="T41" s="153">
        <v>0.83616537578055639</v>
      </c>
    </row>
    <row r="42" spans="1:20" ht="15.75" x14ac:dyDescent="0.25">
      <c r="A42" s="106" t="s">
        <v>28</v>
      </c>
      <c r="B42" s="108"/>
      <c r="C42" s="108"/>
      <c r="D42" s="109">
        <f>SUM(D15:D41)</f>
        <v>35758.081065989842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>
        <f>SUM(N15:N41)</f>
        <v>455984.41283578414</v>
      </c>
      <c r="O42" s="129">
        <f>P42*12*595</f>
        <v>276313.3666372915</v>
      </c>
      <c r="P42" s="112">
        <f>P15+P22+P34+P37+P40</f>
        <v>38.699351069648671</v>
      </c>
      <c r="Q42" s="141">
        <f>P42-P35-P36</f>
        <v>26.379351069648671</v>
      </c>
      <c r="R42" s="141">
        <f>25.17-2.64-9.78</f>
        <v>12.750000000000002</v>
      </c>
      <c r="S42" s="1">
        <f>R42/Q42</f>
        <v>0.48333258715639099</v>
      </c>
      <c r="T42" s="149">
        <f>T15+T22+T34+T37+T40</f>
        <v>25.171600000000005</v>
      </c>
    </row>
    <row r="43" spans="1:20" x14ac:dyDescent="0.25">
      <c r="N43" s="79"/>
      <c r="O43" s="80"/>
      <c r="P43" s="107"/>
    </row>
    <row r="46" spans="1:20" x14ac:dyDescent="0.25">
      <c r="S46" s="141"/>
    </row>
    <row r="68" spans="4:16" x14ac:dyDescent="0.25"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</row>
    <row r="69" spans="4:16" x14ac:dyDescent="0.25"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</row>
    <row r="70" spans="4:16" x14ac:dyDescent="0.25"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</row>
    <row r="71" spans="4:16" x14ac:dyDescent="0.25"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</row>
    <row r="72" spans="4:16" x14ac:dyDescent="0.25"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</row>
    <row r="73" spans="4:16" x14ac:dyDescent="0.25"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</row>
    <row r="74" spans="4:16" x14ac:dyDescent="0.25"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</row>
    <row r="75" spans="4:16" x14ac:dyDescent="0.25"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</row>
    <row r="76" spans="4:16" x14ac:dyDescent="0.25"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</row>
    <row r="77" spans="4:16" x14ac:dyDescent="0.25"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</row>
    <row r="78" spans="4:16" x14ac:dyDescent="0.25"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</row>
    <row r="79" spans="4:16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</row>
    <row r="80" spans="4:16" x14ac:dyDescent="0.25"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</row>
    <row r="81" spans="4:16" x14ac:dyDescent="0.25"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</row>
    <row r="82" spans="4:16" x14ac:dyDescent="0.25"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</row>
    <row r="83" spans="4:16" x14ac:dyDescent="0.25"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</row>
    <row r="84" spans="4:16" x14ac:dyDescent="0.25"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</row>
    <row r="85" spans="4:16" x14ac:dyDescent="0.25"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</row>
    <row r="86" spans="4:16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 x14ac:dyDescent="0.25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 x14ac:dyDescent="0.25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 x14ac:dyDescent="0.25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 x14ac:dyDescent="0.25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 x14ac:dyDescent="0.25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 x14ac:dyDescent="0.25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 x14ac:dyDescent="0.25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 x14ac:dyDescent="0.25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 x14ac:dyDescent="0.25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  <row r="100" spans="4:16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</row>
    <row r="101" spans="4:16" x14ac:dyDescent="0.25"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</row>
    <row r="102" spans="4:16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</row>
    <row r="103" spans="4:16" x14ac:dyDescent="0.25"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</row>
    <row r="104" spans="4:16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</row>
    <row r="105" spans="4:16" x14ac:dyDescent="0.25"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</row>
    <row r="106" spans="4:16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</row>
    <row r="107" spans="4:16" x14ac:dyDescent="0.25"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</row>
    <row r="108" spans="4:16" x14ac:dyDescent="0.25"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</row>
    <row r="109" spans="4:16" x14ac:dyDescent="0.25"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</row>
    <row r="110" spans="4:16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</row>
    <row r="111" spans="4:16" x14ac:dyDescent="0.25"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</row>
    <row r="112" spans="4:16" x14ac:dyDescent="0.25"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</row>
    <row r="113" spans="4:16" x14ac:dyDescent="0.25"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</row>
    <row r="114" spans="4:16" x14ac:dyDescent="0.25"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</row>
    <row r="115" spans="4:16" x14ac:dyDescent="0.25"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</row>
    <row r="116" spans="4:16" x14ac:dyDescent="0.25"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</row>
    <row r="117" spans="4:16" x14ac:dyDescent="0.25"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</row>
  </sheetData>
  <mergeCells count="9">
    <mergeCell ref="A2:T2"/>
    <mergeCell ref="A3:T3"/>
    <mergeCell ref="A13:T13"/>
    <mergeCell ref="A7:T7"/>
    <mergeCell ref="A8:T8"/>
    <mergeCell ref="A9:T9"/>
    <mergeCell ref="A10:T10"/>
    <mergeCell ref="A11:T11"/>
    <mergeCell ref="A12:T12"/>
  </mergeCells>
  <pageMargins left="0.7" right="0.7" top="0.75" bottom="0.75" header="0.3" footer="0.3"/>
  <pageSetup paperSize="9" scale="70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G105"/>
  <sheetViews>
    <sheetView topLeftCell="A28" zoomScaleNormal="100" workbookViewId="0">
      <selection activeCell="A7" sqref="A7:T7"/>
    </sheetView>
  </sheetViews>
  <sheetFormatPr defaultColWidth="9.140625" defaultRowHeight="15" outlineLevelCol="1" x14ac:dyDescent="0.25"/>
  <cols>
    <col min="1" max="1" width="91.7109375" style="1" customWidth="1"/>
    <col min="2" max="2" width="14.5703125" style="1" hidden="1" customWidth="1" outlineLevel="1"/>
    <col min="3" max="3" width="14.85546875" style="1" hidden="1" customWidth="1" outlineLevel="1"/>
    <col min="4" max="8" width="14.85546875" style="7" hidden="1" customWidth="1" outlineLevel="1"/>
    <col min="9" max="10" width="16.28515625" style="7" hidden="1" customWidth="1" outlineLevel="1"/>
    <col min="11" max="11" width="16.42578125" style="7" hidden="1" customWidth="1" outlineLevel="1"/>
    <col min="12" max="12" width="14.85546875" style="7" hidden="1" customWidth="1" outlineLevel="1"/>
    <col min="13" max="13" width="23.7109375" style="7" hidden="1" customWidth="1" outlineLevel="1" collapsed="1"/>
    <col min="14" max="14" width="27" style="1" hidden="1" customWidth="1" outlineLevel="1"/>
    <col min="15" max="15" width="10.42578125" style="81" hidden="1" customWidth="1" outlineLevel="1"/>
    <col min="16" max="16" width="21.5703125" style="82" hidden="1" customWidth="1" collapsed="1"/>
    <col min="17" max="17" width="22" style="1" hidden="1" customWidth="1"/>
    <col min="18" max="18" width="12" style="1" hidden="1" customWidth="1"/>
    <col min="19" max="19" width="11.7109375" style="1" hidden="1" customWidth="1"/>
    <col min="20" max="20" width="22.28515625" style="1" customWidth="1"/>
    <col min="21" max="16384" width="9.140625" style="1"/>
  </cols>
  <sheetData>
    <row r="2" spans="1:20" x14ac:dyDescent="0.25">
      <c r="A2" s="155" t="s">
        <v>172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x14ac:dyDescent="0.25">
      <c r="A3" s="155" t="s">
        <v>183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7" spans="1:20" ht="18.75" x14ac:dyDescent="0.3">
      <c r="A7" s="157" t="s">
        <v>122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</row>
    <row r="8" spans="1:20" ht="18.75" x14ac:dyDescent="0.3">
      <c r="A8" s="157" t="s">
        <v>123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</row>
    <row r="9" spans="1:20" ht="18.75" x14ac:dyDescent="0.3">
      <c r="A9" s="157" t="s">
        <v>157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1:20" ht="18.75" x14ac:dyDescent="0.3">
      <c r="A10" s="157" t="s">
        <v>165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1:20" ht="18.75" x14ac:dyDescent="0.3">
      <c r="A11" s="156" t="s">
        <v>156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</row>
    <row r="12" spans="1:20" ht="17.25" customHeight="1" x14ac:dyDescent="0.3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ht="63" x14ac:dyDescent="0.25">
      <c r="A13" s="128" t="s">
        <v>116</v>
      </c>
      <c r="B13" s="128" t="s">
        <v>90</v>
      </c>
      <c r="C13" s="128" t="s">
        <v>53</v>
      </c>
      <c r="D13" s="134" t="s">
        <v>54</v>
      </c>
      <c r="E13" s="134" t="s">
        <v>26</v>
      </c>
      <c r="F13" s="134" t="s">
        <v>18</v>
      </c>
      <c r="G13" s="134" t="s">
        <v>55</v>
      </c>
      <c r="H13" s="134" t="s">
        <v>153</v>
      </c>
      <c r="I13" s="134" t="s">
        <v>52</v>
      </c>
      <c r="J13" s="134" t="s">
        <v>89</v>
      </c>
      <c r="K13" s="134" t="s">
        <v>25</v>
      </c>
      <c r="L13" s="134" t="s">
        <v>19</v>
      </c>
      <c r="M13" s="134" t="s">
        <v>50</v>
      </c>
      <c r="N13" s="128" t="s">
        <v>0</v>
      </c>
      <c r="O13" s="128" t="s">
        <v>91</v>
      </c>
      <c r="P13" s="135" t="s">
        <v>36</v>
      </c>
      <c r="T13" s="135" t="s">
        <v>36</v>
      </c>
    </row>
    <row r="14" spans="1:20" ht="34.15" customHeight="1" x14ac:dyDescent="0.25">
      <c r="A14" s="113" t="s">
        <v>160</v>
      </c>
      <c r="B14" s="12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27"/>
      <c r="N14" s="127"/>
      <c r="O14" s="127"/>
      <c r="P14" s="112">
        <f>P15</f>
        <v>0.64420324706090804</v>
      </c>
      <c r="S14" s="1">
        <f>P14*$S$30</f>
        <v>0.57499115204383289</v>
      </c>
      <c r="T14" s="149">
        <f>T15</f>
        <v>0.57499115204383289</v>
      </c>
    </row>
    <row r="15" spans="1:20" s="25" customFormat="1" ht="39" customHeight="1" x14ac:dyDescent="0.25">
      <c r="A15" s="120" t="s">
        <v>145</v>
      </c>
      <c r="B15" s="140">
        <v>0.01</v>
      </c>
      <c r="C15" s="122">
        <f>ЗП!M10</f>
        <v>154.61664974619285</v>
      </c>
      <c r="D15" s="122">
        <f t="shared" ref="D15" si="0">B15*C15</f>
        <v>1.5461664974619285</v>
      </c>
      <c r="E15" s="122">
        <f t="shared" ref="E15" si="1">D15*0.302</f>
        <v>0.46694228223350237</v>
      </c>
      <c r="F15" s="122">
        <v>0</v>
      </c>
      <c r="G15" s="122">
        <f>'Спец одежда'!G13</f>
        <v>3030.048632</v>
      </c>
      <c r="H15" s="122">
        <f t="shared" ref="H15" si="2">D15*0.4429</f>
        <v>0.68479714172588813</v>
      </c>
      <c r="I15" s="122">
        <f t="shared" ref="I15" si="3">(D15+E15+F15+G15)*0.964</f>
        <v>2922.9075181116264</v>
      </c>
      <c r="J15" s="122">
        <f t="shared" ref="J15" si="4">D15+E15+F15+G15+H15+I15</f>
        <v>5955.6540560330477</v>
      </c>
      <c r="K15" s="122">
        <f t="shared" ref="K15" si="5">J15*0.1</f>
        <v>595.56540560330484</v>
      </c>
      <c r="L15" s="122">
        <f t="shared" ref="L15" si="6">(J15+K15)*0.18</f>
        <v>1179.2195030945434</v>
      </c>
      <c r="M15" s="122" t="s">
        <v>45</v>
      </c>
      <c r="N15" s="122">
        <f t="shared" ref="N15" si="7">J15+K15+L15</f>
        <v>7730.4389647308953</v>
      </c>
      <c r="O15" s="122">
        <f t="shared" ref="O15" si="8">N15/12</f>
        <v>644.20324706090798</v>
      </c>
      <c r="P15" s="123">
        <f t="shared" ref="P15" si="9">O15/1000</f>
        <v>0.64420324706090804</v>
      </c>
      <c r="S15" s="1">
        <f t="shared" ref="S15:S29" si="10">P15*$S$30</f>
        <v>0.57499115204383289</v>
      </c>
      <c r="T15" s="150">
        <v>0.57499115204383289</v>
      </c>
    </row>
    <row r="16" spans="1:20" s="78" customFormat="1" ht="19.899999999999999" customHeight="1" x14ac:dyDescent="0.25">
      <c r="A16" s="118" t="s">
        <v>164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36">
        <f>P17+P18+P19+P20+P21</f>
        <v>5.5110864923947336</v>
      </c>
      <c r="S16" s="1">
        <f t="shared" si="10"/>
        <v>4.9189847858305633</v>
      </c>
      <c r="T16" s="152">
        <f>T17+T18+T19+T20+T21</f>
        <v>4.9189847858305633</v>
      </c>
    </row>
    <row r="17" spans="1:33" ht="19.899999999999999" customHeight="1" x14ac:dyDescent="0.25">
      <c r="A17" s="108" t="s">
        <v>132</v>
      </c>
      <c r="B17" s="108">
        <v>0.39</v>
      </c>
      <c r="C17" s="109">
        <f>ЗП!M11</f>
        <v>155.61502538071065</v>
      </c>
      <c r="D17" s="126">
        <f>B17*C17</f>
        <v>60.689859898477152</v>
      </c>
      <c r="E17" s="126">
        <f t="shared" ref="E17:E21" si="11">D17*0.302</f>
        <v>18.328337689340099</v>
      </c>
      <c r="F17" s="109">
        <v>0</v>
      </c>
      <c r="G17" s="109">
        <f>'Спец одежда'!G35</f>
        <v>3077.8574320000002</v>
      </c>
      <c r="H17" s="126">
        <f>D17*0.4429</f>
        <v>26.879538949035531</v>
      </c>
      <c r="I17" s="126">
        <f t="shared" ref="I17:I21" si="12">(D17+E17+F17+G17)*0.964</f>
        <v>3043.228106922656</v>
      </c>
      <c r="J17" s="126">
        <f t="shared" ref="J17:J21" si="13">D17+E17+F17+G17+H17+I17</f>
        <v>6226.9832754595091</v>
      </c>
      <c r="K17" s="126">
        <f t="shared" ref="K17:K21" si="14">J17*0.1</f>
        <v>622.69832754595097</v>
      </c>
      <c r="L17" s="126">
        <f t="shared" ref="L17:L21" si="15">(J17+K17)*0.18</f>
        <v>1232.9426885409828</v>
      </c>
      <c r="M17" s="122" t="s">
        <v>32</v>
      </c>
      <c r="N17" s="122">
        <f t="shared" ref="N17:N19" si="16">J17+K17+L17</f>
        <v>8082.6242915464427</v>
      </c>
      <c r="O17" s="129">
        <f t="shared" ref="O17:O19" si="17">N17/12</f>
        <v>673.55202429553685</v>
      </c>
      <c r="P17" s="123">
        <f t="shared" ref="P17:P19" si="18">O17/1000</f>
        <v>0.67355202429553684</v>
      </c>
      <c r="Q17" s="78"/>
      <c r="R17" s="78"/>
      <c r="S17" s="1">
        <f t="shared" si="10"/>
        <v>0.60118674685060902</v>
      </c>
      <c r="T17" s="153">
        <v>0.60118674685060902</v>
      </c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ht="19.899999999999999" customHeight="1" x14ac:dyDescent="0.25">
      <c r="A18" s="108" t="s">
        <v>142</v>
      </c>
      <c r="B18" s="108">
        <v>9.8000000000000007</v>
      </c>
      <c r="C18" s="109">
        <f>ЗП!M11</f>
        <v>155.61502538071065</v>
      </c>
      <c r="D18" s="126">
        <f>B18*C18</f>
        <v>1525.0272487309644</v>
      </c>
      <c r="E18" s="126">
        <f t="shared" si="11"/>
        <v>460.55822911675125</v>
      </c>
      <c r="F18" s="109">
        <v>0</v>
      </c>
      <c r="G18" s="109">
        <f>'Спец одежда'!G35</f>
        <v>3077.8574320000002</v>
      </c>
      <c r="H18" s="126">
        <f t="shared" ref="H18:H19" si="19">D18*0.4429</f>
        <v>675.43456846294418</v>
      </c>
      <c r="I18" s="126">
        <f t="shared" si="12"/>
        <v>4881.1589650931983</v>
      </c>
      <c r="J18" s="126">
        <f t="shared" si="13"/>
        <v>10620.036443403858</v>
      </c>
      <c r="K18" s="126">
        <f t="shared" si="14"/>
        <v>1062.0036443403858</v>
      </c>
      <c r="L18" s="126">
        <f t="shared" si="15"/>
        <v>2102.7672157939637</v>
      </c>
      <c r="M18" s="122"/>
      <c r="N18" s="122">
        <f t="shared" si="16"/>
        <v>13784.807303538208</v>
      </c>
      <c r="O18" s="129">
        <f t="shared" si="17"/>
        <v>1148.7339419615173</v>
      </c>
      <c r="P18" s="123">
        <f t="shared" si="18"/>
        <v>1.1487339419615172</v>
      </c>
      <c r="Q18" s="78"/>
      <c r="R18" s="78"/>
      <c r="S18" s="1">
        <f t="shared" si="10"/>
        <v>1.0253159320351211</v>
      </c>
      <c r="T18" s="153">
        <v>1.0253159320351211</v>
      </c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ht="19.899999999999999" customHeight="1" x14ac:dyDescent="0.25">
      <c r="A19" s="108" t="s">
        <v>130</v>
      </c>
      <c r="B19" s="138">
        <v>4</v>
      </c>
      <c r="C19" s="109">
        <f>ЗП!M10</f>
        <v>154.61664974619285</v>
      </c>
      <c r="D19" s="126">
        <f>B19*C19</f>
        <v>618.46659898477139</v>
      </c>
      <c r="E19" s="126">
        <f t="shared" si="11"/>
        <v>186.77691289340095</v>
      </c>
      <c r="F19" s="109">
        <v>0</v>
      </c>
      <c r="G19" s="109">
        <f>'Спец одежда'!G35</f>
        <v>3077.8574320000002</v>
      </c>
      <c r="H19" s="126">
        <f t="shared" si="19"/>
        <v>273.91885669035526</v>
      </c>
      <c r="I19" s="126">
        <f t="shared" si="12"/>
        <v>3743.3093098985582</v>
      </c>
      <c r="J19" s="126">
        <f t="shared" si="13"/>
        <v>7900.3291104670861</v>
      </c>
      <c r="K19" s="126">
        <f t="shared" si="14"/>
        <v>790.0329110467087</v>
      </c>
      <c r="L19" s="126">
        <f t="shared" si="15"/>
        <v>1564.2651638724828</v>
      </c>
      <c r="M19" s="122" t="s">
        <v>32</v>
      </c>
      <c r="N19" s="122">
        <f t="shared" si="16"/>
        <v>10254.627185386278</v>
      </c>
      <c r="O19" s="129">
        <f t="shared" si="17"/>
        <v>854.55226544885647</v>
      </c>
      <c r="P19" s="123">
        <f t="shared" si="18"/>
        <v>0.85455226544885643</v>
      </c>
      <c r="Q19" s="78"/>
      <c r="R19" s="78"/>
      <c r="S19" s="1">
        <f t="shared" si="10"/>
        <v>0.76274063167776651</v>
      </c>
      <c r="T19" s="153">
        <v>0.76274063167776651</v>
      </c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3" ht="19.899999999999999" customHeight="1" x14ac:dyDescent="0.25">
      <c r="A20" s="131" t="s">
        <v>149</v>
      </c>
      <c r="B20" s="108">
        <v>2.8</v>
      </c>
      <c r="C20" s="109">
        <f>ЗП!M9</f>
        <v>155.61502538071065</v>
      </c>
      <c r="D20" s="109">
        <f>B20*C20</f>
        <v>435.72207106598978</v>
      </c>
      <c r="E20" s="109">
        <f t="shared" si="11"/>
        <v>131.58806546192892</v>
      </c>
      <c r="F20" s="109">
        <v>0</v>
      </c>
      <c r="G20" s="109">
        <f>'Спец одежда'!G35</f>
        <v>3077.8574320000002</v>
      </c>
      <c r="H20" s="126">
        <f t="shared" ref="H20" si="20">D20*0.4429</f>
        <v>192.98130527512689</v>
      </c>
      <c r="I20" s="126">
        <f t="shared" si="12"/>
        <v>3513.9415360609137</v>
      </c>
      <c r="J20" s="126">
        <f t="shared" si="13"/>
        <v>7352.0904098639594</v>
      </c>
      <c r="K20" s="126">
        <f t="shared" si="14"/>
        <v>735.20904098639596</v>
      </c>
      <c r="L20" s="126">
        <f t="shared" si="15"/>
        <v>1455.7139011530639</v>
      </c>
      <c r="M20" s="122" t="s">
        <v>31</v>
      </c>
      <c r="N20" s="122">
        <f>J20+K20+L20</f>
        <v>9543.0133520034196</v>
      </c>
      <c r="O20" s="129">
        <f>N20/12</f>
        <v>795.2511126669516</v>
      </c>
      <c r="P20" s="123">
        <f>O20/1000</f>
        <v>0.79525111266695159</v>
      </c>
      <c r="S20" s="1">
        <f t="shared" si="10"/>
        <v>0.70981069332188151</v>
      </c>
      <c r="T20" s="151">
        <v>0.70981069332188151</v>
      </c>
    </row>
    <row r="21" spans="1:33" s="78" customFormat="1" ht="32.450000000000003" customHeight="1" x14ac:dyDescent="0.25">
      <c r="A21" s="108" t="s">
        <v>147</v>
      </c>
      <c r="B21" s="108">
        <f>1.98+3.76</f>
        <v>5.74</v>
      </c>
      <c r="C21" s="109">
        <f>ЗП!M9+ЗП!M12</f>
        <v>311.2300507614213</v>
      </c>
      <c r="D21" s="109">
        <f>B21*C21</f>
        <v>1786.4604913705582</v>
      </c>
      <c r="E21" s="109">
        <f t="shared" si="11"/>
        <v>539.51106839390854</v>
      </c>
      <c r="F21" s="109">
        <v>0</v>
      </c>
      <c r="G21" s="109">
        <f>'Спец одежда'!G49+'Спец одежда'!G25</f>
        <v>6869.1860639999995</v>
      </c>
      <c r="H21" s="126">
        <f>D21*0.4429</f>
        <v>791.22335162802028</v>
      </c>
      <c r="I21" s="126">
        <f t="shared" si="12"/>
        <v>8864.131949308945</v>
      </c>
      <c r="J21" s="126">
        <f t="shared" si="13"/>
        <v>18850.512924701434</v>
      </c>
      <c r="K21" s="126">
        <f t="shared" si="14"/>
        <v>1885.0512924701434</v>
      </c>
      <c r="L21" s="126">
        <f t="shared" si="15"/>
        <v>3732.4015590908839</v>
      </c>
      <c r="M21" s="122" t="s">
        <v>34</v>
      </c>
      <c r="N21" s="122">
        <f>J21+K21+L21</f>
        <v>24467.965776262463</v>
      </c>
      <c r="O21" s="129">
        <f>N21/12</f>
        <v>2038.9971480218719</v>
      </c>
      <c r="P21" s="123">
        <f>O21/1000</f>
        <v>2.0389971480218718</v>
      </c>
      <c r="S21" s="1">
        <f t="shared" si="10"/>
        <v>1.8199307819451853</v>
      </c>
      <c r="T21" s="153">
        <v>1.8199307819451853</v>
      </c>
    </row>
    <row r="22" spans="1:33" s="78" customFormat="1" ht="19.899999999999999" customHeight="1" x14ac:dyDescent="0.25">
      <c r="A22" s="132" t="s">
        <v>163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25"/>
      <c r="N22" s="125"/>
      <c r="O22" s="125"/>
      <c r="P22" s="137">
        <f>P23+P24</f>
        <v>12.32</v>
      </c>
      <c r="S22" s="1">
        <f t="shared" si="10"/>
        <v>10.996360272164624</v>
      </c>
      <c r="T22" s="152">
        <f>T23+T24</f>
        <v>12.4216</v>
      </c>
    </row>
    <row r="23" spans="1:33" s="78" customFormat="1" ht="19.899999999999999" customHeight="1" x14ac:dyDescent="0.25">
      <c r="A23" s="108" t="s">
        <v>126</v>
      </c>
      <c r="B23" s="106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26"/>
      <c r="N23" s="122">
        <f>O23*12</f>
        <v>30480</v>
      </c>
      <c r="O23" s="122">
        <f>P23*1000</f>
        <v>2540</v>
      </c>
      <c r="P23" s="111">
        <v>2.54</v>
      </c>
      <c r="S23" s="1">
        <f t="shared" si="10"/>
        <v>2.2671067444235509</v>
      </c>
      <c r="T23" s="153">
        <f>2.54*1.04</f>
        <v>2.6415999999999999</v>
      </c>
    </row>
    <row r="24" spans="1:33" s="78" customFormat="1" ht="19.899999999999999" customHeight="1" x14ac:dyDescent="0.25">
      <c r="A24" s="108" t="s">
        <v>125</v>
      </c>
      <c r="B24" s="106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26"/>
      <c r="N24" s="122">
        <f>O24*12</f>
        <v>117360</v>
      </c>
      <c r="O24" s="122">
        <f>P24*1000</f>
        <v>9780</v>
      </c>
      <c r="P24" s="111">
        <v>9.7799999999999994</v>
      </c>
      <c r="S24" s="1">
        <f t="shared" si="10"/>
        <v>8.7292535277410721</v>
      </c>
      <c r="T24" s="153">
        <f>P24</f>
        <v>9.7799999999999994</v>
      </c>
    </row>
    <row r="25" spans="1:33" s="78" customFormat="1" ht="19.899999999999999" customHeight="1" x14ac:dyDescent="0.25">
      <c r="A25" s="132" t="s">
        <v>162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25"/>
      <c r="N25" s="125"/>
      <c r="O25" s="125"/>
      <c r="P25" s="137">
        <f>P26+P27</f>
        <v>1.6378613221806846</v>
      </c>
      <c r="S25" s="1">
        <f t="shared" si="10"/>
        <v>1.4618923031284663</v>
      </c>
      <c r="T25" s="152">
        <f>T26+T27</f>
        <v>1.4618923031284661</v>
      </c>
    </row>
    <row r="26" spans="1:33" s="78" customFormat="1" ht="19.899999999999999" customHeight="1" x14ac:dyDescent="0.25">
      <c r="A26" s="108" t="s">
        <v>152</v>
      </c>
      <c r="B26" s="108">
        <v>1.58</v>
      </c>
      <c r="C26" s="109">
        <f>ЗП!M10</f>
        <v>154.61664974619285</v>
      </c>
      <c r="D26" s="109">
        <f>B26*C26</f>
        <v>244.29430659898472</v>
      </c>
      <c r="E26" s="109">
        <f>D26*0.302</f>
        <v>73.776880592893377</v>
      </c>
      <c r="F26" s="109">
        <f>'Материалы, инвентарь'!E39</f>
        <v>156.1823</v>
      </c>
      <c r="G26" s="109">
        <f>'Спец одежда'!G13</f>
        <v>3030.048632</v>
      </c>
      <c r="H26" s="126">
        <f>D26*0.4429</f>
        <v>108.19794839269034</v>
      </c>
      <c r="I26" s="126">
        <f>(D26+E26+F26+G26)*0.964</f>
        <v>3378.14724290097</v>
      </c>
      <c r="J26" s="126">
        <f>D26+E26+F26+G26+H26+I26</f>
        <v>6990.6473104855377</v>
      </c>
      <c r="K26" s="126">
        <f>J26*0.1</f>
        <v>699.06473104855377</v>
      </c>
      <c r="L26" s="126">
        <f>(J26+K26)*0.18</f>
        <v>1384.1481674761365</v>
      </c>
      <c r="M26" s="126" t="s">
        <v>32</v>
      </c>
      <c r="N26" s="122">
        <f>J26+K26+L26</f>
        <v>9073.8602090102286</v>
      </c>
      <c r="O26" s="129">
        <f>N26/12</f>
        <v>756.15501741751905</v>
      </c>
      <c r="P26" s="123">
        <f>O26/1000</f>
        <v>0.756155017417519</v>
      </c>
      <c r="S26" s="1">
        <f t="shared" si="10"/>
        <v>0.67491501567597034</v>
      </c>
      <c r="T26" s="153">
        <v>0.67491501567597034</v>
      </c>
    </row>
    <row r="27" spans="1:33" s="78" customFormat="1" ht="19.899999999999999" customHeight="1" x14ac:dyDescent="0.25">
      <c r="A27" s="108" t="s">
        <v>143</v>
      </c>
      <c r="B27" s="108">
        <v>4.3600000000000003</v>
      </c>
      <c r="C27" s="109">
        <f>ЗП!M10</f>
        <v>154.61664974619285</v>
      </c>
      <c r="D27" s="109">
        <f>B27*C27</f>
        <v>674.12859289340088</v>
      </c>
      <c r="E27" s="109">
        <f>D27*0.302</f>
        <v>203.58683505380705</v>
      </c>
      <c r="F27" s="109">
        <f>'Материалы, инвентарь'!E43</f>
        <v>90.604799999999997</v>
      </c>
      <c r="G27" s="109">
        <f>'Спец одежда'!G13</f>
        <v>3030.048632</v>
      </c>
      <c r="H27" s="126">
        <f>D27*0.4429</f>
        <v>298.57155379248724</v>
      </c>
      <c r="I27" s="126">
        <f>(D27+E27+F27+G27)*0.964</f>
        <v>3854.4275809891083</v>
      </c>
      <c r="J27" s="126">
        <f>D27+E27+F27+G27+H27+I27</f>
        <v>8151.3679947288038</v>
      </c>
      <c r="K27" s="126">
        <f>J27*0.1</f>
        <v>815.1367994728804</v>
      </c>
      <c r="L27" s="126">
        <f>(J27+K27)*0.18</f>
        <v>1613.9708629563031</v>
      </c>
      <c r="M27" s="126" t="s">
        <v>46</v>
      </c>
      <c r="N27" s="122">
        <f>J27+K27+L27</f>
        <v>10580.475657157987</v>
      </c>
      <c r="O27" s="129">
        <f>N27/12</f>
        <v>881.70630476316558</v>
      </c>
      <c r="P27" s="123">
        <f>O27/1000</f>
        <v>0.88170630476316558</v>
      </c>
      <c r="S27" s="1">
        <f t="shared" si="10"/>
        <v>0.78697728745249584</v>
      </c>
      <c r="T27" s="153">
        <v>0.78697728745249584</v>
      </c>
    </row>
    <row r="28" spans="1:33" s="78" customFormat="1" ht="19.899999999999999" customHeight="1" x14ac:dyDescent="0.25">
      <c r="A28" s="132" t="s">
        <v>161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25"/>
      <c r="N28" s="125"/>
      <c r="O28" s="125"/>
      <c r="P28" s="137">
        <f>P29</f>
        <v>1.73</v>
      </c>
      <c r="S28" s="1">
        <f t="shared" si="10"/>
        <v>1.5441317589971428</v>
      </c>
      <c r="T28" s="152">
        <f>T29</f>
        <v>1.5441317589971428</v>
      </c>
    </row>
    <row r="29" spans="1:33" s="78" customFormat="1" ht="19.899999999999999" customHeight="1" x14ac:dyDescent="0.25">
      <c r="A29" s="108" t="s">
        <v>124</v>
      </c>
      <c r="B29" s="106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26" t="s">
        <v>34</v>
      </c>
      <c r="N29" s="109">
        <f>P29*12*595</f>
        <v>12352.199999999999</v>
      </c>
      <c r="O29" s="129">
        <f>P29*12*595</f>
        <v>12352.199999999999</v>
      </c>
      <c r="P29" s="111">
        <v>1.73</v>
      </c>
      <c r="S29" s="1">
        <f t="shared" si="10"/>
        <v>1.5441317589971428</v>
      </c>
      <c r="T29" s="153">
        <v>1.5441317589971428</v>
      </c>
    </row>
    <row r="30" spans="1:33" ht="19.899999999999999" customHeight="1" x14ac:dyDescent="0.25">
      <c r="A30" s="106" t="s">
        <v>28</v>
      </c>
      <c r="B30" s="108"/>
      <c r="C30" s="108"/>
      <c r="D30" s="109">
        <f>SUM(D14:D29)</f>
        <v>5346.335336040609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>
        <f>SUM(N14:N29)</f>
        <v>253710.01273963592</v>
      </c>
      <c r="O30" s="129">
        <f>P30*12*595</f>
        <v>155960.09858008334</v>
      </c>
      <c r="P30" s="112">
        <f>P14+P16+P22+P25+P28</f>
        <v>21.843151061636323</v>
      </c>
      <c r="Q30" s="141">
        <f>P30-P22</f>
        <v>9.5231510616363231</v>
      </c>
      <c r="R30" s="1">
        <f>20.92-2.64-9.78</f>
        <v>8.5000000000000018</v>
      </c>
      <c r="S30" s="1">
        <f>R30/Q30</f>
        <v>0.89256171040297272</v>
      </c>
      <c r="T30" s="149">
        <f>T14+T16+T22+T25+T28</f>
        <v>20.921600000000002</v>
      </c>
    </row>
    <row r="31" spans="1:33" x14ac:dyDescent="0.25">
      <c r="N31" s="79"/>
      <c r="O31" s="80"/>
      <c r="P31" s="107"/>
    </row>
    <row r="69" spans="4:16" x14ac:dyDescent="0.25"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</row>
    <row r="70" spans="4:16" x14ac:dyDescent="0.25"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</row>
    <row r="71" spans="4:16" x14ac:dyDescent="0.25"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</row>
    <row r="72" spans="4:16" x14ac:dyDescent="0.25"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</row>
    <row r="73" spans="4:16" x14ac:dyDescent="0.25"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</row>
    <row r="74" spans="4:16" x14ac:dyDescent="0.25"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</row>
    <row r="75" spans="4:16" x14ac:dyDescent="0.25"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</row>
    <row r="76" spans="4:16" x14ac:dyDescent="0.25"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</row>
    <row r="77" spans="4:16" x14ac:dyDescent="0.25"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</row>
    <row r="78" spans="4:16" x14ac:dyDescent="0.25"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</row>
    <row r="79" spans="4:16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</row>
    <row r="80" spans="4:16" x14ac:dyDescent="0.25"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</row>
    <row r="81" spans="4:16" x14ac:dyDescent="0.25"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</row>
    <row r="82" spans="4:16" x14ac:dyDescent="0.25"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</row>
    <row r="83" spans="4:16" x14ac:dyDescent="0.25"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</row>
    <row r="84" spans="4:16" x14ac:dyDescent="0.25"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</row>
    <row r="85" spans="4:16" x14ac:dyDescent="0.25"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</row>
    <row r="86" spans="4:16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 x14ac:dyDescent="0.25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 x14ac:dyDescent="0.25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 x14ac:dyDescent="0.25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 x14ac:dyDescent="0.25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 x14ac:dyDescent="0.25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 x14ac:dyDescent="0.25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 x14ac:dyDescent="0.25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 x14ac:dyDescent="0.25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 x14ac:dyDescent="0.25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  <row r="100" spans="4:16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</row>
    <row r="101" spans="4:16" x14ac:dyDescent="0.25"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</row>
    <row r="102" spans="4:16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</row>
    <row r="103" spans="4:16" x14ac:dyDescent="0.25"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</row>
    <row r="104" spans="4:16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</row>
    <row r="105" spans="4:16" x14ac:dyDescent="0.25"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</row>
  </sheetData>
  <mergeCells count="8">
    <mergeCell ref="A2:T2"/>
    <mergeCell ref="A3:T3"/>
    <mergeCell ref="A12:T12"/>
    <mergeCell ref="A7:T7"/>
    <mergeCell ref="A8:T8"/>
    <mergeCell ref="A9:T9"/>
    <mergeCell ref="A10:T10"/>
    <mergeCell ref="A11:T11"/>
  </mergeCells>
  <pageMargins left="0.7" right="0.7" top="0.75" bottom="0.75" header="0.3" footer="0.3"/>
  <pageSetup paperSize="9" scale="7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G123"/>
  <sheetViews>
    <sheetView topLeftCell="A22" zoomScaleNormal="100" workbookViewId="0">
      <selection activeCell="A6" sqref="A6"/>
    </sheetView>
  </sheetViews>
  <sheetFormatPr defaultColWidth="9.140625" defaultRowHeight="15" outlineLevelCol="1" x14ac:dyDescent="0.25"/>
  <cols>
    <col min="1" max="1" width="101.7109375" style="1" customWidth="1"/>
    <col min="2" max="2" width="14.5703125" style="1" hidden="1" customWidth="1" outlineLevel="1"/>
    <col min="3" max="3" width="14.85546875" style="1" hidden="1" customWidth="1" outlineLevel="1"/>
    <col min="4" max="8" width="14.85546875" style="7" hidden="1" customWidth="1" outlineLevel="1"/>
    <col min="9" max="10" width="16.28515625" style="7" hidden="1" customWidth="1" outlineLevel="1"/>
    <col min="11" max="11" width="16.42578125" style="7" hidden="1" customWidth="1" outlineLevel="1"/>
    <col min="12" max="12" width="14.85546875" style="7" hidden="1" customWidth="1" outlineLevel="1"/>
    <col min="13" max="13" width="23.7109375" style="7" hidden="1" customWidth="1" outlineLevel="1" collapsed="1"/>
    <col min="14" max="14" width="27" style="1" hidden="1" customWidth="1" outlineLevel="1"/>
    <col min="15" max="15" width="10.42578125" style="81" hidden="1" customWidth="1" outlineLevel="1"/>
    <col min="16" max="16" width="21.5703125" style="82" hidden="1" customWidth="1"/>
    <col min="17" max="17" width="6.5703125" style="1" hidden="1" customWidth="1"/>
    <col min="18" max="18" width="6.85546875" style="1" hidden="1" customWidth="1"/>
    <col min="19" max="19" width="11.5703125" style="1" hidden="1" customWidth="1"/>
    <col min="20" max="20" width="21.7109375" style="1" customWidth="1"/>
    <col min="21" max="16384" width="9.140625" style="1"/>
  </cols>
  <sheetData>
    <row r="2" spans="1:20" x14ac:dyDescent="0.25">
      <c r="A2" s="155" t="s">
        <v>173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x14ac:dyDescent="0.25">
      <c r="A3" s="155" t="s">
        <v>182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7" spans="1:20" ht="18.75" x14ac:dyDescent="0.3">
      <c r="A7" s="157" t="s">
        <v>122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</row>
    <row r="8" spans="1:20" ht="18.75" x14ac:dyDescent="0.3">
      <c r="A8" s="157" t="s">
        <v>123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</row>
    <row r="9" spans="1:20" ht="18.75" x14ac:dyDescent="0.3">
      <c r="A9" s="157" t="s">
        <v>157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1:20" ht="18.75" x14ac:dyDescent="0.3">
      <c r="A10" s="157" t="s">
        <v>176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1:20" ht="17.45" customHeight="1" x14ac:dyDescent="0.3">
      <c r="A11" s="157" t="s">
        <v>179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1:20" ht="20.25" customHeight="1" x14ac:dyDescent="0.3">
      <c r="A12" s="156" t="s">
        <v>115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ht="17.25" customHeight="1" x14ac:dyDescent="0.3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</row>
    <row r="14" spans="1:20" ht="63.6" customHeight="1" x14ac:dyDescent="0.25">
      <c r="A14" s="128" t="s">
        <v>116</v>
      </c>
      <c r="B14" s="128" t="s">
        <v>90</v>
      </c>
      <c r="C14" s="128" t="s">
        <v>53</v>
      </c>
      <c r="D14" s="134" t="s">
        <v>54</v>
      </c>
      <c r="E14" s="134" t="s">
        <v>26</v>
      </c>
      <c r="F14" s="134" t="s">
        <v>18</v>
      </c>
      <c r="G14" s="134" t="s">
        <v>55</v>
      </c>
      <c r="H14" s="134" t="s">
        <v>153</v>
      </c>
      <c r="I14" s="134" t="s">
        <v>52</v>
      </c>
      <c r="J14" s="134" t="s">
        <v>89</v>
      </c>
      <c r="K14" s="134" t="s">
        <v>25</v>
      </c>
      <c r="L14" s="134" t="s">
        <v>19</v>
      </c>
      <c r="M14" s="134" t="s">
        <v>50</v>
      </c>
      <c r="N14" s="128" t="s">
        <v>0</v>
      </c>
      <c r="O14" s="128" t="s">
        <v>91</v>
      </c>
      <c r="P14" s="135" t="s">
        <v>36</v>
      </c>
      <c r="T14" s="135" t="s">
        <v>36</v>
      </c>
    </row>
    <row r="15" spans="1:20" ht="19.899999999999999" customHeight="1" x14ac:dyDescent="0.25">
      <c r="A15" s="115" t="s">
        <v>37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>
        <f>P16+P17+P18+P19</f>
        <v>12.520142006379384</v>
      </c>
      <c r="S15" s="79">
        <f t="shared" ref="S15:S39" si="0">P15*$S$48</f>
        <v>2.6906502686132123</v>
      </c>
      <c r="T15" s="149">
        <f>T16+T17+T18+T19</f>
        <v>2.6906502686132128</v>
      </c>
    </row>
    <row r="16" spans="1:20" s="25" customFormat="1" ht="19.899999999999999" customHeight="1" x14ac:dyDescent="0.25">
      <c r="A16" s="120" t="s">
        <v>133</v>
      </c>
      <c r="B16" s="139">
        <v>47.28</v>
      </c>
      <c r="C16" s="121">
        <f>ЗП!M10</f>
        <v>154.61664974619285</v>
      </c>
      <c r="D16" s="122">
        <f>B16*C16</f>
        <v>7310.2751999999982</v>
      </c>
      <c r="E16" s="122">
        <f>D16*0.302</f>
        <v>2207.7031103999993</v>
      </c>
      <c r="F16" s="122">
        <f>'Материалы, инвентарь'!E13</f>
        <v>1084.3787</v>
      </c>
      <c r="G16" s="122">
        <f>'Спец одежда'!G13</f>
        <v>3030.048632</v>
      </c>
      <c r="H16" s="122">
        <f>D16*0.4429</f>
        <v>3237.7208860799992</v>
      </c>
      <c r="I16" s="122">
        <f>(D16+E16+F16+G16)*0.964</f>
        <v>13141.639039273598</v>
      </c>
      <c r="J16" s="122">
        <f>D16+E16+F16+G16+H16+I16</f>
        <v>30011.765567753595</v>
      </c>
      <c r="K16" s="122">
        <f>J16*0.1</f>
        <v>3001.1765567753596</v>
      </c>
      <c r="L16" s="122">
        <f>(J16+K16)*0.18</f>
        <v>5942.3295824152119</v>
      </c>
      <c r="M16" s="122" t="s">
        <v>42</v>
      </c>
      <c r="N16" s="122">
        <f>J16+K16+L16</f>
        <v>38955.271706944171</v>
      </c>
      <c r="O16" s="122">
        <f>N16/12</f>
        <v>3246.2726422453475</v>
      </c>
      <c r="P16" s="123">
        <f>O16/1000</f>
        <v>3.2462726422453474</v>
      </c>
      <c r="S16" s="1">
        <f t="shared" si="0"/>
        <v>0.69764259482030133</v>
      </c>
      <c r="T16" s="150">
        <v>0.69764259482030133</v>
      </c>
    </row>
    <row r="17" spans="1:33" ht="19.899999999999999" customHeight="1" x14ac:dyDescent="0.25">
      <c r="A17" s="110" t="s">
        <v>134</v>
      </c>
      <c r="B17" s="108">
        <v>108.19</v>
      </c>
      <c r="C17" s="121">
        <f>ЗП!M10</f>
        <v>154.61664974619285</v>
      </c>
      <c r="D17" s="109">
        <f>B17*C17</f>
        <v>16727.975336040603</v>
      </c>
      <c r="E17" s="109">
        <f>D17*0.302</f>
        <v>5051.8485514842623</v>
      </c>
      <c r="F17" s="109">
        <f>'Материалы, инвентарь'!E20</f>
        <v>966.68319999999994</v>
      </c>
      <c r="G17" s="109">
        <f>'Спец одежда'!G13</f>
        <v>3030.048632</v>
      </c>
      <c r="H17" s="122">
        <f>D17*0.4429</f>
        <v>7408.8202763323834</v>
      </c>
      <c r="I17" s="122">
        <f t="shared" ref="I17:I19" si="1">(D17+E17+F17+G17)*0.964</f>
        <v>24848.599713621967</v>
      </c>
      <c r="J17" s="122">
        <f t="shared" ref="J17:J19" si="2">D17+E17+F17+G17+H17+I17</f>
        <v>58033.975709479215</v>
      </c>
      <c r="K17" s="122">
        <f t="shared" ref="K17:K19" si="3">J17*0.1</f>
        <v>5803.3975709479218</v>
      </c>
      <c r="L17" s="122">
        <f t="shared" ref="L17:L19" si="4">(J17+K17)*0.18</f>
        <v>11490.727190476884</v>
      </c>
      <c r="M17" s="122" t="s">
        <v>49</v>
      </c>
      <c r="N17" s="122">
        <f>J17+K17+L17</f>
        <v>75328.100470904013</v>
      </c>
      <c r="O17" s="122">
        <f t="shared" ref="O17:O18" si="5">N17/12</f>
        <v>6277.3417059086678</v>
      </c>
      <c r="P17" s="123">
        <f t="shared" ref="P17:P19" si="6">O17/1000</f>
        <v>6.2773417059086674</v>
      </c>
      <c r="S17" s="1">
        <f t="shared" si="0"/>
        <v>1.3490367072972538</v>
      </c>
      <c r="T17" s="151">
        <v>1.3490367072972538</v>
      </c>
    </row>
    <row r="18" spans="1:33" ht="31.9" customHeight="1" x14ac:dyDescent="0.25">
      <c r="A18" s="108" t="s">
        <v>135</v>
      </c>
      <c r="B18" s="108">
        <v>1.53</v>
      </c>
      <c r="C18" s="121">
        <f>ЗП!M10</f>
        <v>154.61664974619285</v>
      </c>
      <c r="D18" s="109">
        <f>B18*C18</f>
        <v>236.56347411167505</v>
      </c>
      <c r="E18" s="109">
        <f>D18*0.302</f>
        <v>71.442169181725859</v>
      </c>
      <c r="F18" s="109">
        <f>'Материалы, инвентарь'!E25</f>
        <v>4.2969000000000008</v>
      </c>
      <c r="G18" s="109">
        <f>'Спец одежда'!G13</f>
        <v>3030.048632</v>
      </c>
      <c r="H18" s="122">
        <f t="shared" ref="H18" si="7">D18*0.4429</f>
        <v>104.77396268406088</v>
      </c>
      <c r="I18" s="122">
        <f t="shared" si="1"/>
        <v>3222.0265329828385</v>
      </c>
      <c r="J18" s="122">
        <f t="shared" si="2"/>
        <v>6669.1516709603002</v>
      </c>
      <c r="K18" s="122">
        <f t="shared" si="3"/>
        <v>666.91516709603002</v>
      </c>
      <c r="L18" s="122">
        <f t="shared" si="4"/>
        <v>1320.4920308501394</v>
      </c>
      <c r="M18" s="122" t="s">
        <v>43</v>
      </c>
      <c r="N18" s="122">
        <f>J18+K18+L18</f>
        <v>8656.5588689064698</v>
      </c>
      <c r="O18" s="122">
        <f t="shared" si="5"/>
        <v>721.37990574220578</v>
      </c>
      <c r="P18" s="123">
        <f>O18/1000</f>
        <v>0.72137990574220578</v>
      </c>
      <c r="S18" s="1">
        <f t="shared" si="0"/>
        <v>0.15502867588630004</v>
      </c>
      <c r="T18" s="151">
        <v>0.15502867588630004</v>
      </c>
    </row>
    <row r="19" spans="1:33" ht="19.899999999999999" customHeight="1" x14ac:dyDescent="0.25">
      <c r="A19" s="124" t="s">
        <v>136</v>
      </c>
      <c r="B19" s="108">
        <v>8.59</v>
      </c>
      <c r="C19" s="121">
        <f>ЗП!M10</f>
        <v>154.61664974619285</v>
      </c>
      <c r="D19" s="109">
        <f>B19*C19</f>
        <v>1328.1570213197965</v>
      </c>
      <c r="E19" s="109">
        <f>D19*0.302</f>
        <v>401.10342043857855</v>
      </c>
      <c r="F19" s="109">
        <f>'Материалы, инвентарь'!E29</f>
        <v>5650.8145000000004</v>
      </c>
      <c r="G19" s="109">
        <f>'Спец одежда'!G13</f>
        <v>3030.048632</v>
      </c>
      <c r="H19" s="122">
        <f>D19*0.4429</f>
        <v>588.24074474253791</v>
      </c>
      <c r="I19" s="122">
        <f t="shared" si="1"/>
        <v>10035.359125103074</v>
      </c>
      <c r="J19" s="122">
        <f t="shared" si="2"/>
        <v>21033.723443603987</v>
      </c>
      <c r="K19" s="122">
        <f t="shared" si="3"/>
        <v>2103.372344360399</v>
      </c>
      <c r="L19" s="122">
        <f t="shared" si="4"/>
        <v>4164.6772418335895</v>
      </c>
      <c r="M19" s="122" t="s">
        <v>31</v>
      </c>
      <c r="N19" s="122">
        <f>J19+K19+L19</f>
        <v>27301.773029797976</v>
      </c>
      <c r="O19" s="122">
        <f>N19/12</f>
        <v>2275.1477524831648</v>
      </c>
      <c r="P19" s="123">
        <f t="shared" si="6"/>
        <v>2.2751477524831647</v>
      </c>
      <c r="S19" s="1">
        <f t="shared" si="0"/>
        <v>0.48894229060935757</v>
      </c>
      <c r="T19" s="151">
        <v>0.48894229060935757</v>
      </c>
    </row>
    <row r="20" spans="1:33" ht="34.15" customHeight="1" x14ac:dyDescent="0.25">
      <c r="A20" s="113" t="s">
        <v>39</v>
      </c>
      <c r="B20" s="127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27"/>
      <c r="N20" s="127"/>
      <c r="O20" s="127"/>
      <c r="P20" s="112">
        <f>P21+P22+P23+P24+P25+P26+P27</f>
        <v>10.385751379578483</v>
      </c>
      <c r="S20" s="79">
        <f t="shared" si="0"/>
        <v>2.2319574909752919</v>
      </c>
      <c r="T20" s="149">
        <f>T21+T22+T23+T24+T25+T26+T27</f>
        <v>2.2319574909752919</v>
      </c>
    </row>
    <row r="21" spans="1:33" s="25" customFormat="1" ht="19.899999999999999" customHeight="1" x14ac:dyDescent="0.25">
      <c r="A21" s="120" t="s">
        <v>137</v>
      </c>
      <c r="B21" s="140">
        <v>1.89</v>
      </c>
      <c r="C21" s="122">
        <f>ЗП!M10</f>
        <v>154.61664974619285</v>
      </c>
      <c r="D21" s="122">
        <f t="shared" ref="D21:D27" si="8">B21*C21</f>
        <v>292.22546802030445</v>
      </c>
      <c r="E21" s="122">
        <f t="shared" ref="E21:E27" si="9">D21*0.302</f>
        <v>88.252091342131934</v>
      </c>
      <c r="F21" s="122">
        <v>0</v>
      </c>
      <c r="G21" s="122">
        <f>'Спец одежда'!G13</f>
        <v>3030.048632</v>
      </c>
      <c r="H21" s="122">
        <f>D21*0.4429</f>
        <v>129.42665978619286</v>
      </c>
      <c r="I21" s="122">
        <f t="shared" ref="I21:I27" si="10">(D21+E21+F21+G21)*0.964</f>
        <v>3287.7472484733885</v>
      </c>
      <c r="J21" s="122">
        <f t="shared" ref="J21:J27" si="11">D21+E21+F21+G21+H21+I21</f>
        <v>6827.7000996220177</v>
      </c>
      <c r="K21" s="122">
        <f t="shared" ref="K21:K27" si="12">J21*0.1</f>
        <v>682.77000996220181</v>
      </c>
      <c r="L21" s="122">
        <f t="shared" ref="L21:L27" si="13">(J21+K21)*0.18</f>
        <v>1351.8846197251594</v>
      </c>
      <c r="M21" s="122" t="s">
        <v>48</v>
      </c>
      <c r="N21" s="122">
        <f>J21+K21+L21</f>
        <v>8862.3547293093779</v>
      </c>
      <c r="O21" s="122">
        <f>N21/12</f>
        <v>738.52956077578153</v>
      </c>
      <c r="P21" s="123">
        <f t="shared" ref="P21:P24" si="14">O21/1000</f>
        <v>0.73852956077578158</v>
      </c>
      <c r="S21" s="1">
        <f t="shared" si="0"/>
        <v>0.15871423503564541</v>
      </c>
      <c r="T21" s="150">
        <v>0.15871423503564541</v>
      </c>
    </row>
    <row r="22" spans="1:33" ht="19.899999999999999" customHeight="1" x14ac:dyDescent="0.25">
      <c r="A22" s="108" t="s">
        <v>148</v>
      </c>
      <c r="B22" s="140">
        <v>8.34</v>
      </c>
      <c r="C22" s="122">
        <f>ЗП!M10</f>
        <v>154.61664974619285</v>
      </c>
      <c r="D22" s="122">
        <f t="shared" si="8"/>
        <v>1289.5028588832483</v>
      </c>
      <c r="E22" s="122">
        <f t="shared" si="9"/>
        <v>389.42986338274096</v>
      </c>
      <c r="F22" s="122">
        <v>0</v>
      </c>
      <c r="G22" s="122">
        <f>'Спец одежда'!G13</f>
        <v>3030.048632</v>
      </c>
      <c r="H22" s="122">
        <f t="shared" ref="H22:H26" si="15">D22*0.4429</f>
        <v>571.12081619939067</v>
      </c>
      <c r="I22" s="122">
        <f t="shared" si="10"/>
        <v>4539.4580255124138</v>
      </c>
      <c r="J22" s="122">
        <f t="shared" si="11"/>
        <v>9819.5601959777941</v>
      </c>
      <c r="K22" s="122">
        <f t="shared" si="12"/>
        <v>981.95601959777946</v>
      </c>
      <c r="L22" s="122">
        <f t="shared" si="13"/>
        <v>1944.272918803603</v>
      </c>
      <c r="M22" s="122" t="s">
        <v>45</v>
      </c>
      <c r="N22" s="122">
        <f>J22+K22+L22</f>
        <v>12745.789134379176</v>
      </c>
      <c r="O22" s="122">
        <f>N22/12</f>
        <v>1062.1490945315979</v>
      </c>
      <c r="P22" s="123">
        <f t="shared" si="14"/>
        <v>1.0621490945315979</v>
      </c>
      <c r="S22" s="1">
        <f t="shared" si="0"/>
        <v>0.22826192746476467</v>
      </c>
      <c r="T22" s="151">
        <v>0.22826192746476467</v>
      </c>
    </row>
    <row r="23" spans="1:33" ht="19.899999999999999" customHeight="1" x14ac:dyDescent="0.25">
      <c r="A23" s="108" t="s">
        <v>138</v>
      </c>
      <c r="B23" s="140">
        <v>0.18</v>
      </c>
      <c r="C23" s="122">
        <f>ЗП!M10</f>
        <v>154.61664974619285</v>
      </c>
      <c r="D23" s="122">
        <f t="shared" si="8"/>
        <v>27.830996954314713</v>
      </c>
      <c r="E23" s="122">
        <f t="shared" si="9"/>
        <v>8.4049610802030426</v>
      </c>
      <c r="F23" s="122">
        <v>0</v>
      </c>
      <c r="G23" s="122">
        <f>'Спец одежда'!G13</f>
        <v>3030.048632</v>
      </c>
      <c r="H23" s="122">
        <f t="shared" si="15"/>
        <v>12.326348551065987</v>
      </c>
      <c r="I23" s="122">
        <f t="shared" si="10"/>
        <v>2955.8983447932751</v>
      </c>
      <c r="J23" s="122">
        <f t="shared" si="11"/>
        <v>6034.5092833788585</v>
      </c>
      <c r="K23" s="122">
        <f t="shared" si="12"/>
        <v>603.4509283378859</v>
      </c>
      <c r="L23" s="122">
        <f t="shared" si="13"/>
        <v>1194.8328381090139</v>
      </c>
      <c r="M23" s="122" t="s">
        <v>45</v>
      </c>
      <c r="N23" s="122">
        <f t="shared" ref="N23:N24" si="16">J23+K23+L23</f>
        <v>7832.7930498257583</v>
      </c>
      <c r="O23" s="122">
        <f t="shared" ref="O23:O24" si="17">N23/12</f>
        <v>652.73275415214653</v>
      </c>
      <c r="P23" s="123">
        <f t="shared" si="14"/>
        <v>0.65273275415214649</v>
      </c>
      <c r="S23" s="1">
        <f t="shared" si="0"/>
        <v>0.14027600960094866</v>
      </c>
      <c r="T23" s="151">
        <v>0.14027600960094866</v>
      </c>
    </row>
    <row r="24" spans="1:33" s="25" customFormat="1" ht="39" customHeight="1" x14ac:dyDescent="0.25">
      <c r="A24" s="120" t="s">
        <v>145</v>
      </c>
      <c r="B24" s="140">
        <v>0.01</v>
      </c>
      <c r="C24" s="122">
        <f>ЗП!M10</f>
        <v>154.61664974619285</v>
      </c>
      <c r="D24" s="122">
        <f t="shared" si="8"/>
        <v>1.5461664974619285</v>
      </c>
      <c r="E24" s="122">
        <f t="shared" si="9"/>
        <v>0.46694228223350237</v>
      </c>
      <c r="F24" s="122">
        <v>0</v>
      </c>
      <c r="G24" s="122">
        <f>'Спец одежда'!G13</f>
        <v>3030.048632</v>
      </c>
      <c r="H24" s="122">
        <f t="shared" si="15"/>
        <v>0.68479714172588813</v>
      </c>
      <c r="I24" s="122">
        <f t="shared" si="10"/>
        <v>2922.9075181116264</v>
      </c>
      <c r="J24" s="122">
        <f t="shared" si="11"/>
        <v>5955.6540560330477</v>
      </c>
      <c r="K24" s="122">
        <f t="shared" si="12"/>
        <v>595.56540560330484</v>
      </c>
      <c r="L24" s="122">
        <f t="shared" si="13"/>
        <v>1179.2195030945434</v>
      </c>
      <c r="M24" s="122" t="s">
        <v>45</v>
      </c>
      <c r="N24" s="122">
        <f t="shared" si="16"/>
        <v>7730.4389647308953</v>
      </c>
      <c r="O24" s="122">
        <f t="shared" si="17"/>
        <v>644.20324706090798</v>
      </c>
      <c r="P24" s="123">
        <f t="shared" si="14"/>
        <v>0.64420324706090804</v>
      </c>
      <c r="S24" s="1">
        <f t="shared" si="0"/>
        <v>0.1384429696454525</v>
      </c>
      <c r="T24" s="150">
        <v>0.1384429696454525</v>
      </c>
    </row>
    <row r="25" spans="1:33" ht="19.899999999999999" customHeight="1" x14ac:dyDescent="0.25">
      <c r="A25" s="108" t="s">
        <v>139</v>
      </c>
      <c r="B25" s="108">
        <v>16.72</v>
      </c>
      <c r="C25" s="109">
        <f>ЗП!M10</f>
        <v>154.61664974619285</v>
      </c>
      <c r="D25" s="122">
        <f t="shared" si="8"/>
        <v>2585.1903837563441</v>
      </c>
      <c r="E25" s="122">
        <f t="shared" si="9"/>
        <v>780.72749589441594</v>
      </c>
      <c r="F25" s="109">
        <v>0</v>
      </c>
      <c r="G25" s="109">
        <f>'Спец одежда'!G13</f>
        <v>3030.048632</v>
      </c>
      <c r="H25" s="122">
        <f t="shared" si="15"/>
        <v>1144.9808209656849</v>
      </c>
      <c r="I25" s="122">
        <f t="shared" si="10"/>
        <v>6165.7117172313328</v>
      </c>
      <c r="J25" s="122">
        <f t="shared" si="11"/>
        <v>13706.659049847778</v>
      </c>
      <c r="K25" s="122">
        <f t="shared" si="12"/>
        <v>1370.6659049847779</v>
      </c>
      <c r="L25" s="122">
        <f t="shared" si="13"/>
        <v>2713.9184918698602</v>
      </c>
      <c r="M25" s="126" t="s">
        <v>33</v>
      </c>
      <c r="N25" s="122">
        <f>J25+K25+L25</f>
        <v>17791.243446702418</v>
      </c>
      <c r="O25" s="129">
        <f>N25/12</f>
        <v>1482.6036205585349</v>
      </c>
      <c r="P25" s="123">
        <f>O25/1000</f>
        <v>1.4826036205585349</v>
      </c>
      <c r="S25" s="1">
        <f t="shared" si="0"/>
        <v>0.31862001468275231</v>
      </c>
      <c r="T25" s="151">
        <v>0.31862001468275231</v>
      </c>
    </row>
    <row r="26" spans="1:33" ht="19.899999999999999" customHeight="1" x14ac:dyDescent="0.25">
      <c r="A26" s="108" t="s">
        <v>140</v>
      </c>
      <c r="B26" s="108">
        <v>49.01</v>
      </c>
      <c r="C26" s="109">
        <f>ЗП!M10</f>
        <v>154.61664974619285</v>
      </c>
      <c r="D26" s="122">
        <f t="shared" si="8"/>
        <v>7577.7620040609108</v>
      </c>
      <c r="E26" s="122">
        <f t="shared" si="9"/>
        <v>2288.484125226395</v>
      </c>
      <c r="F26" s="109">
        <v>0</v>
      </c>
      <c r="G26" s="109">
        <f>'Спец одежда'!G13</f>
        <v>3030.048632</v>
      </c>
      <c r="H26" s="122">
        <f t="shared" si="15"/>
        <v>3356.1907915985776</v>
      </c>
      <c r="I26" s="122">
        <f t="shared" si="10"/>
        <v>12432.028149880962</v>
      </c>
      <c r="J26" s="122">
        <f t="shared" si="11"/>
        <v>28684.513702766846</v>
      </c>
      <c r="K26" s="122">
        <f t="shared" si="12"/>
        <v>2868.4513702766849</v>
      </c>
      <c r="L26" s="122">
        <f t="shared" si="13"/>
        <v>5679.5337131478354</v>
      </c>
      <c r="M26" s="126" t="s">
        <v>33</v>
      </c>
      <c r="N26" s="122">
        <f>J26+K26+L26</f>
        <v>37232.498786191369</v>
      </c>
      <c r="O26" s="129">
        <f>N26/12</f>
        <v>3102.7082321826142</v>
      </c>
      <c r="P26" s="123">
        <f t="shared" ref="P26:P27" si="18">O26/1000</f>
        <v>3.1027082321826143</v>
      </c>
      <c r="S26" s="1">
        <f t="shared" si="0"/>
        <v>0.66678978034728908</v>
      </c>
      <c r="T26" s="151">
        <v>0.66678978034728908</v>
      </c>
    </row>
    <row r="27" spans="1:33" ht="19.899999999999999" customHeight="1" x14ac:dyDescent="0.25">
      <c r="A27" s="108" t="s">
        <v>141</v>
      </c>
      <c r="B27" s="108">
        <v>41.04</v>
      </c>
      <c r="C27" s="109">
        <f>ЗП!M10</f>
        <v>154.61664974619285</v>
      </c>
      <c r="D27" s="122">
        <f t="shared" si="8"/>
        <v>6345.4673055837548</v>
      </c>
      <c r="E27" s="122">
        <f t="shared" si="9"/>
        <v>1916.331126286294</v>
      </c>
      <c r="F27" s="109">
        <v>0</v>
      </c>
      <c r="G27" s="109">
        <f>'Спец одежда'!G13</f>
        <v>3030.048632</v>
      </c>
      <c r="H27" s="122">
        <f>D27*0.4429</f>
        <v>2810.4074696430453</v>
      </c>
      <c r="I27" s="122">
        <f t="shared" si="10"/>
        <v>10885.340569570728</v>
      </c>
      <c r="J27" s="122">
        <f t="shared" si="11"/>
        <v>24987.595103083822</v>
      </c>
      <c r="K27" s="122">
        <f t="shared" si="12"/>
        <v>2498.7595103083822</v>
      </c>
      <c r="L27" s="122">
        <f t="shared" si="13"/>
        <v>4947.5438304105974</v>
      </c>
      <c r="M27" s="126" t="s">
        <v>44</v>
      </c>
      <c r="N27" s="122">
        <f>J27+K27+L27</f>
        <v>32433.898443802806</v>
      </c>
      <c r="O27" s="129">
        <f>N27/12</f>
        <v>2702.8248703169006</v>
      </c>
      <c r="P27" s="123">
        <f t="shared" si="18"/>
        <v>2.7028248703169004</v>
      </c>
      <c r="S27" s="1">
        <f t="shared" si="0"/>
        <v>0.5808525541984394</v>
      </c>
      <c r="T27" s="151">
        <v>0.5808525541984394</v>
      </c>
    </row>
    <row r="28" spans="1:33" s="78" customFormat="1" ht="19.899999999999999" customHeight="1" x14ac:dyDescent="0.25">
      <c r="A28" s="118" t="s">
        <v>117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36">
        <f>P29+P30+P31+P32+P33+P34+P35+P36+P37</f>
        <v>13.278471122041653</v>
      </c>
      <c r="S28" s="79">
        <f t="shared" si="0"/>
        <v>2.8536195414628542</v>
      </c>
      <c r="T28" s="152">
        <f>T29+T30+T31+T32+T33+T34+T35+T36+T37</f>
        <v>2.8536195414628542</v>
      </c>
    </row>
    <row r="29" spans="1:33" ht="19.899999999999999" customHeight="1" x14ac:dyDescent="0.25">
      <c r="A29" s="108" t="s">
        <v>132</v>
      </c>
      <c r="B29" s="108">
        <v>0.39</v>
      </c>
      <c r="C29" s="109">
        <f>ЗП!M11</f>
        <v>155.61502538071065</v>
      </c>
      <c r="D29" s="126">
        <f>B29*C29</f>
        <v>60.689859898477152</v>
      </c>
      <c r="E29" s="126">
        <f t="shared" ref="E29:E36" si="19">D29*0.302</f>
        <v>18.328337689340099</v>
      </c>
      <c r="F29" s="109">
        <v>0</v>
      </c>
      <c r="G29" s="109">
        <f>'Спец одежда'!G35</f>
        <v>3077.8574320000002</v>
      </c>
      <c r="H29" s="126">
        <f>D29*0.4429</f>
        <v>26.879538949035531</v>
      </c>
      <c r="I29" s="126">
        <f t="shared" ref="I29:I36" si="20">(D29+E29+F29+G29)*0.964</f>
        <v>3043.228106922656</v>
      </c>
      <c r="J29" s="126">
        <f t="shared" ref="J29:J36" si="21">D29+E29+F29+G29+H29+I29</f>
        <v>6226.9832754595091</v>
      </c>
      <c r="K29" s="126">
        <f t="shared" ref="K29:K36" si="22">J29*0.1</f>
        <v>622.69832754595097</v>
      </c>
      <c r="L29" s="126">
        <f t="shared" ref="L29:L36" si="23">(J29+K29)*0.18</f>
        <v>1232.9426885409828</v>
      </c>
      <c r="M29" s="122" t="s">
        <v>32</v>
      </c>
      <c r="N29" s="122">
        <f t="shared" ref="N29:N31" si="24">J29+K29+L29</f>
        <v>8082.6242915464427</v>
      </c>
      <c r="O29" s="129">
        <f t="shared" ref="O29:O31" si="25">N29/12</f>
        <v>673.55202429553685</v>
      </c>
      <c r="P29" s="123">
        <f t="shared" ref="P29:P31" si="26">O29/1000</f>
        <v>0.67355202429553684</v>
      </c>
      <c r="Q29" s="78"/>
      <c r="R29" s="78"/>
      <c r="S29" s="1">
        <f t="shared" si="0"/>
        <v>0.14475019006752018</v>
      </c>
      <c r="T29" s="153">
        <v>0.14475019006752018</v>
      </c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</row>
    <row r="30" spans="1:33" ht="19.899999999999999" customHeight="1" x14ac:dyDescent="0.25">
      <c r="A30" s="108" t="s">
        <v>142</v>
      </c>
      <c r="B30" s="108">
        <v>9.8000000000000007</v>
      </c>
      <c r="C30" s="109">
        <f>ЗП!M11</f>
        <v>155.61502538071065</v>
      </c>
      <c r="D30" s="126">
        <f>B30*C30</f>
        <v>1525.0272487309644</v>
      </c>
      <c r="E30" s="126">
        <f t="shared" si="19"/>
        <v>460.55822911675125</v>
      </c>
      <c r="F30" s="109">
        <v>0</v>
      </c>
      <c r="G30" s="109">
        <f>'Спец одежда'!G35</f>
        <v>3077.8574320000002</v>
      </c>
      <c r="H30" s="126">
        <f t="shared" ref="H30:H31" si="27">D30*0.4429</f>
        <v>675.43456846294418</v>
      </c>
      <c r="I30" s="126">
        <f t="shared" si="20"/>
        <v>4881.1589650931983</v>
      </c>
      <c r="J30" s="126">
        <f t="shared" si="21"/>
        <v>10620.036443403858</v>
      </c>
      <c r="K30" s="126">
        <f t="shared" si="22"/>
        <v>1062.0036443403858</v>
      </c>
      <c r="L30" s="126">
        <f t="shared" si="23"/>
        <v>2102.7672157939637</v>
      </c>
      <c r="M30" s="122"/>
      <c r="N30" s="122">
        <f t="shared" si="24"/>
        <v>13784.807303538208</v>
      </c>
      <c r="O30" s="129">
        <f t="shared" si="25"/>
        <v>1148.7339419615173</v>
      </c>
      <c r="P30" s="123">
        <f t="shared" si="26"/>
        <v>1.1487339419615172</v>
      </c>
      <c r="Q30" s="78"/>
      <c r="R30" s="78"/>
      <c r="S30" s="1">
        <f t="shared" si="0"/>
        <v>0.24686950738489991</v>
      </c>
      <c r="T30" s="153">
        <v>0.24686950738489991</v>
      </c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</row>
    <row r="31" spans="1:33" ht="19.899999999999999" customHeight="1" x14ac:dyDescent="0.25">
      <c r="A31" s="108" t="s">
        <v>130</v>
      </c>
      <c r="B31" s="138">
        <v>4</v>
      </c>
      <c r="C31" s="109">
        <f>ЗП!M10</f>
        <v>154.61664974619285</v>
      </c>
      <c r="D31" s="126">
        <f>B31*C31</f>
        <v>618.46659898477139</v>
      </c>
      <c r="E31" s="126">
        <f t="shared" si="19"/>
        <v>186.77691289340095</v>
      </c>
      <c r="F31" s="109">
        <v>0</v>
      </c>
      <c r="G31" s="109">
        <f>'Спец одежда'!G35</f>
        <v>3077.8574320000002</v>
      </c>
      <c r="H31" s="126">
        <f t="shared" si="27"/>
        <v>273.91885669035526</v>
      </c>
      <c r="I31" s="126">
        <f t="shared" si="20"/>
        <v>3743.3093098985582</v>
      </c>
      <c r="J31" s="126">
        <f t="shared" si="21"/>
        <v>7900.3291104670861</v>
      </c>
      <c r="K31" s="126">
        <f t="shared" si="22"/>
        <v>790.0329110467087</v>
      </c>
      <c r="L31" s="126">
        <f t="shared" si="23"/>
        <v>1564.2651638724828</v>
      </c>
      <c r="M31" s="122" t="s">
        <v>32</v>
      </c>
      <c r="N31" s="122">
        <f t="shared" si="24"/>
        <v>10254.627185386278</v>
      </c>
      <c r="O31" s="129">
        <f t="shared" si="25"/>
        <v>854.55226544885647</v>
      </c>
      <c r="P31" s="123">
        <f t="shared" si="26"/>
        <v>0.85455226544885643</v>
      </c>
      <c r="Q31" s="78"/>
      <c r="R31" s="78"/>
      <c r="S31" s="1">
        <f t="shared" si="0"/>
        <v>0.18364817918218759</v>
      </c>
      <c r="T31" s="153">
        <v>0.18364817918218759</v>
      </c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</row>
    <row r="32" spans="1:33" s="78" customFormat="1" ht="19.899999999999999" customHeight="1" x14ac:dyDescent="0.25">
      <c r="A32" s="120" t="s">
        <v>129</v>
      </c>
      <c r="B32" s="108">
        <v>7.54</v>
      </c>
      <c r="C32" s="109">
        <f>ЗП!M9</f>
        <v>155.61502538071065</v>
      </c>
      <c r="D32" s="109">
        <f>B32*C32</f>
        <v>1173.3372913705582</v>
      </c>
      <c r="E32" s="109">
        <f t="shared" si="19"/>
        <v>354.34786199390857</v>
      </c>
      <c r="F32" s="109">
        <v>0</v>
      </c>
      <c r="G32" s="109">
        <f>'Спец одежда'!G25</f>
        <v>3277.048632</v>
      </c>
      <c r="H32" s="126">
        <f>D32*0.4429</f>
        <v>519.67108634802025</v>
      </c>
      <c r="I32" s="126">
        <f t="shared" si="20"/>
        <v>4631.7633690913453</v>
      </c>
      <c r="J32" s="126">
        <f t="shared" si="21"/>
        <v>9956.1682408038323</v>
      </c>
      <c r="K32" s="126">
        <f t="shared" si="22"/>
        <v>995.61682408038325</v>
      </c>
      <c r="L32" s="126">
        <f t="shared" si="23"/>
        <v>1971.3213116791587</v>
      </c>
      <c r="M32" s="126" t="s">
        <v>33</v>
      </c>
      <c r="N32" s="122">
        <f>J32+K32+L32</f>
        <v>12923.106376563375</v>
      </c>
      <c r="O32" s="129">
        <f>N32/12</f>
        <v>1076.9255313802812</v>
      </c>
      <c r="P32" s="123">
        <f>O32/1000</f>
        <v>1.0769255313802812</v>
      </c>
      <c r="S32" s="1">
        <f t="shared" si="0"/>
        <v>0.23143746842554597</v>
      </c>
      <c r="T32" s="153">
        <v>0.23143746842554597</v>
      </c>
    </row>
    <row r="33" spans="1:20" s="78" customFormat="1" ht="39" customHeight="1" x14ac:dyDescent="0.25">
      <c r="A33" s="108" t="s">
        <v>146</v>
      </c>
      <c r="B33" s="108">
        <v>31.8</v>
      </c>
      <c r="C33" s="109">
        <f>ЗП!M9</f>
        <v>155.61502538071065</v>
      </c>
      <c r="D33" s="109">
        <f>B33*C33</f>
        <v>4948.5578071065984</v>
      </c>
      <c r="E33" s="109">
        <f t="shared" si="19"/>
        <v>1494.4644577461927</v>
      </c>
      <c r="F33" s="109">
        <v>0</v>
      </c>
      <c r="G33" s="109">
        <f>'Спец одежда'!G25</f>
        <v>3277.048632</v>
      </c>
      <c r="H33" s="126">
        <f>D33*0.4429</f>
        <v>2191.7162527675123</v>
      </c>
      <c r="I33" s="126">
        <f t="shared" si="20"/>
        <v>9370.1483445660906</v>
      </c>
      <c r="J33" s="126">
        <f t="shared" si="21"/>
        <v>21281.935494186393</v>
      </c>
      <c r="K33" s="126">
        <f t="shared" si="22"/>
        <v>2128.1935494186396</v>
      </c>
      <c r="L33" s="126">
        <f t="shared" si="23"/>
        <v>4213.8232278489058</v>
      </c>
      <c r="M33" s="122" t="s">
        <v>43</v>
      </c>
      <c r="N33" s="122">
        <f>J33+K33+L33</f>
        <v>27623.952271453938</v>
      </c>
      <c r="O33" s="129">
        <f>N33/12</f>
        <v>2301.9960226211615</v>
      </c>
      <c r="P33" s="123">
        <f>O33/1000</f>
        <v>2.3019960226211613</v>
      </c>
      <c r="S33" s="1">
        <f t="shared" si="0"/>
        <v>0.49471213772625067</v>
      </c>
      <c r="T33" s="153">
        <v>0.49471213772625067</v>
      </c>
    </row>
    <row r="34" spans="1:20" ht="19.899999999999999" customHeight="1" x14ac:dyDescent="0.25">
      <c r="A34" s="130" t="s">
        <v>128</v>
      </c>
      <c r="B34" s="108">
        <v>19.86</v>
      </c>
      <c r="C34" s="109">
        <f>ЗП!M9</f>
        <v>155.61502538071065</v>
      </c>
      <c r="D34" s="109">
        <f>B34*C34*2</f>
        <v>6181.0288081218268</v>
      </c>
      <c r="E34" s="109">
        <f t="shared" si="19"/>
        <v>1866.6707000527917</v>
      </c>
      <c r="F34" s="109">
        <f>'Материалы, инвентарь'!E33</f>
        <v>1356.24</v>
      </c>
      <c r="G34" s="109">
        <f>'Спец одежда'!G25</f>
        <v>3277.048632</v>
      </c>
      <c r="H34" s="126">
        <f t="shared" ref="H34:H35" si="28">D34*0.4429</f>
        <v>2737.5776591171571</v>
      </c>
      <c r="I34" s="126">
        <f t="shared" si="20"/>
        <v>12224.472567128332</v>
      </c>
      <c r="J34" s="126">
        <f t="shared" si="21"/>
        <v>27643.038366420107</v>
      </c>
      <c r="K34" s="126">
        <f t="shared" si="22"/>
        <v>2764.303836642011</v>
      </c>
      <c r="L34" s="126">
        <f t="shared" si="23"/>
        <v>5473.3215965511808</v>
      </c>
      <c r="M34" s="122"/>
      <c r="N34" s="122">
        <f>J34+K34+L34</f>
        <v>35880.663799613299</v>
      </c>
      <c r="O34" s="129">
        <f>N34/12</f>
        <v>2990.0553166344416</v>
      </c>
      <c r="P34" s="123">
        <f>O34/1000</f>
        <v>2.9900553166344417</v>
      </c>
      <c r="S34" s="1">
        <f t="shared" si="0"/>
        <v>0.64258002319554841</v>
      </c>
      <c r="T34" s="151">
        <v>0.64258002319554841</v>
      </c>
    </row>
    <row r="35" spans="1:20" ht="19.899999999999999" customHeight="1" x14ac:dyDescent="0.25">
      <c r="A35" s="131" t="s">
        <v>149</v>
      </c>
      <c r="B35" s="108">
        <v>2.8</v>
      </c>
      <c r="C35" s="109">
        <f>ЗП!M9</f>
        <v>155.61502538071065</v>
      </c>
      <c r="D35" s="109">
        <f>B35*C35</f>
        <v>435.72207106598978</v>
      </c>
      <c r="E35" s="109">
        <f t="shared" si="19"/>
        <v>131.58806546192892</v>
      </c>
      <c r="F35" s="109">
        <v>0</v>
      </c>
      <c r="G35" s="109">
        <f>'Спец одежда'!G35</f>
        <v>3077.8574320000002</v>
      </c>
      <c r="H35" s="126">
        <f t="shared" si="28"/>
        <v>192.98130527512689</v>
      </c>
      <c r="I35" s="126">
        <f t="shared" si="20"/>
        <v>3513.9415360609137</v>
      </c>
      <c r="J35" s="126">
        <f t="shared" si="21"/>
        <v>7352.0904098639594</v>
      </c>
      <c r="K35" s="126">
        <f t="shared" si="22"/>
        <v>735.20904098639596</v>
      </c>
      <c r="L35" s="126">
        <f t="shared" si="23"/>
        <v>1455.7139011530639</v>
      </c>
      <c r="M35" s="122" t="s">
        <v>31</v>
      </c>
      <c r="N35" s="122">
        <f>J35+K35+L35</f>
        <v>9543.0133520034196</v>
      </c>
      <c r="O35" s="129">
        <f>N35/12</f>
        <v>795.2511126669516</v>
      </c>
      <c r="P35" s="123">
        <f>O35/1000</f>
        <v>0.79525111266695159</v>
      </c>
      <c r="S35" s="1">
        <f t="shared" si="0"/>
        <v>0.17090402160151436</v>
      </c>
      <c r="T35" s="151">
        <v>0.17090402160151436</v>
      </c>
    </row>
    <row r="36" spans="1:20" s="78" customFormat="1" ht="32.450000000000003" customHeight="1" x14ac:dyDescent="0.25">
      <c r="A36" s="108" t="s">
        <v>147</v>
      </c>
      <c r="B36" s="108">
        <f>1.98+3.76</f>
        <v>5.74</v>
      </c>
      <c r="C36" s="109">
        <f>ЗП!M9+ЗП!M12</f>
        <v>311.2300507614213</v>
      </c>
      <c r="D36" s="109">
        <f>B36*C36</f>
        <v>1786.4604913705582</v>
      </c>
      <c r="E36" s="109">
        <f t="shared" si="19"/>
        <v>539.51106839390854</v>
      </c>
      <c r="F36" s="109">
        <v>0</v>
      </c>
      <c r="G36" s="109">
        <f>'Спец одежда'!G49+'Спец одежда'!G25</f>
        <v>6869.1860639999995</v>
      </c>
      <c r="H36" s="126">
        <f>D36*0.4429</f>
        <v>791.22335162802028</v>
      </c>
      <c r="I36" s="126">
        <f t="shared" si="20"/>
        <v>8864.131949308945</v>
      </c>
      <c r="J36" s="126">
        <f t="shared" si="21"/>
        <v>18850.512924701434</v>
      </c>
      <c r="K36" s="126">
        <f t="shared" si="22"/>
        <v>1885.0512924701434</v>
      </c>
      <c r="L36" s="126">
        <f t="shared" si="23"/>
        <v>3732.4015590908839</v>
      </c>
      <c r="M36" s="122" t="s">
        <v>34</v>
      </c>
      <c r="N36" s="122">
        <f>J36+K36+L36</f>
        <v>24467.965776262463</v>
      </c>
      <c r="O36" s="129">
        <f>N36/12</f>
        <v>2038.9971480218719</v>
      </c>
      <c r="P36" s="123">
        <f>O36/1000</f>
        <v>2.0389971480218718</v>
      </c>
      <c r="S36" s="1">
        <f t="shared" si="0"/>
        <v>0.43819217235964475</v>
      </c>
      <c r="T36" s="153">
        <v>0.43819217235964475</v>
      </c>
    </row>
    <row r="37" spans="1:20" s="78" customFormat="1" ht="19.899999999999999" customHeight="1" x14ac:dyDescent="0.25">
      <c r="A37" s="110" t="s">
        <v>127</v>
      </c>
      <c r="B37" s="108"/>
      <c r="C37" s="138"/>
      <c r="D37" s="138"/>
      <c r="E37" s="138"/>
      <c r="F37" s="138"/>
      <c r="G37" s="138"/>
      <c r="H37" s="122"/>
      <c r="I37" s="122"/>
      <c r="J37" s="122"/>
      <c r="K37" s="122"/>
      <c r="L37" s="122"/>
      <c r="M37" s="126"/>
      <c r="N37" s="122"/>
      <c r="O37" s="129"/>
      <c r="P37" s="123">
        <f>P38+P39</f>
        <v>1.3984077590110338</v>
      </c>
      <c r="S37" s="1">
        <f t="shared" si="0"/>
        <v>0.30052584151974227</v>
      </c>
      <c r="T37" s="153">
        <v>0.30052584151974227</v>
      </c>
    </row>
    <row r="38" spans="1:20" s="78" customFormat="1" ht="19.899999999999999" customHeight="1" x14ac:dyDescent="0.25">
      <c r="A38" s="110" t="s">
        <v>150</v>
      </c>
      <c r="B38" s="108">
        <v>0.06</v>
      </c>
      <c r="C38" s="109">
        <f>ЗП!M9</f>
        <v>155.61502538071065</v>
      </c>
      <c r="D38" s="109">
        <f>B38*C38</f>
        <v>9.3369015228426377</v>
      </c>
      <c r="E38" s="109">
        <f>D38*0.302</f>
        <v>2.8197442598984765</v>
      </c>
      <c r="F38" s="109">
        <v>0</v>
      </c>
      <c r="G38" s="109">
        <f>'Спец одежда'!G25</f>
        <v>3277.048632</v>
      </c>
      <c r="H38" s="126">
        <f>D38*0.4429</f>
        <v>4.135313684467004</v>
      </c>
      <c r="I38" s="126">
        <f>(D38+E38+F38+G38)*0.964</f>
        <v>3170.7938877825623</v>
      </c>
      <c r="J38" s="126">
        <f>D38+E38+F38+G38+H38+I38</f>
        <v>6464.1344792497703</v>
      </c>
      <c r="K38" s="126">
        <f>J38*0.1</f>
        <v>646.41344792497705</v>
      </c>
      <c r="L38" s="126">
        <f>(J38+K38)*0.18</f>
        <v>1279.8986268914543</v>
      </c>
      <c r="M38" s="126" t="s">
        <v>144</v>
      </c>
      <c r="N38" s="122">
        <f>J38+K38+L38</f>
        <v>8390.4465540662022</v>
      </c>
      <c r="O38" s="129">
        <f>N38/12</f>
        <v>699.20387950551685</v>
      </c>
      <c r="P38" s="123">
        <f>O38/1000</f>
        <v>0.69920387950551688</v>
      </c>
      <c r="S38" s="1">
        <f t="shared" si="0"/>
        <v>0.15026292075987113</v>
      </c>
      <c r="T38" s="153">
        <v>0.15026292075987113</v>
      </c>
    </row>
    <row r="39" spans="1:20" s="78" customFormat="1" ht="19.899999999999999" customHeight="1" x14ac:dyDescent="0.25">
      <c r="A39" s="110" t="s">
        <v>151</v>
      </c>
      <c r="B39" s="108">
        <v>0.06</v>
      </c>
      <c r="C39" s="109">
        <f>ЗП!M9</f>
        <v>155.61502538071065</v>
      </c>
      <c r="D39" s="109">
        <f>B39*C39</f>
        <v>9.3369015228426377</v>
      </c>
      <c r="E39" s="109">
        <f>D39*0.302</f>
        <v>2.8197442598984765</v>
      </c>
      <c r="F39" s="109">
        <v>0</v>
      </c>
      <c r="G39" s="109">
        <f>'Спец одежда'!G25</f>
        <v>3277.048632</v>
      </c>
      <c r="H39" s="126">
        <f>D39*0.4429</f>
        <v>4.135313684467004</v>
      </c>
      <c r="I39" s="126">
        <f>(D39+E39+F39+G39)*0.964</f>
        <v>3170.7938877825623</v>
      </c>
      <c r="J39" s="126">
        <f>D39+E39+F39+G39+H39+I39</f>
        <v>6464.1344792497703</v>
      </c>
      <c r="K39" s="126">
        <f>J39*0.1</f>
        <v>646.41344792497705</v>
      </c>
      <c r="L39" s="126">
        <f>(J39+K39)*0.18</f>
        <v>1279.8986268914543</v>
      </c>
      <c r="M39" s="126" t="s">
        <v>144</v>
      </c>
      <c r="N39" s="122">
        <f>J39+K39+L39</f>
        <v>8390.4465540662022</v>
      </c>
      <c r="O39" s="129">
        <f>N39/12</f>
        <v>699.20387950551685</v>
      </c>
      <c r="P39" s="123">
        <f>O39/1000</f>
        <v>0.69920387950551688</v>
      </c>
      <c r="S39" s="1">
        <f t="shared" si="0"/>
        <v>0.15026292075987113</v>
      </c>
      <c r="T39" s="153">
        <v>0.15026292075987113</v>
      </c>
    </row>
    <row r="40" spans="1:20" s="78" customFormat="1" ht="19.899999999999999" customHeight="1" x14ac:dyDescent="0.25">
      <c r="A40" s="132" t="s">
        <v>114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25"/>
      <c r="N40" s="125"/>
      <c r="O40" s="125"/>
      <c r="P40" s="137">
        <f>P41+P42</f>
        <v>12.32</v>
      </c>
      <c r="S40" s="79"/>
      <c r="T40" s="152">
        <f>T41+T42</f>
        <v>12.4216</v>
      </c>
    </row>
    <row r="41" spans="1:20" s="78" customFormat="1" ht="19.899999999999999" customHeight="1" x14ac:dyDescent="0.25">
      <c r="A41" s="108" t="s">
        <v>126</v>
      </c>
      <c r="B41" s="106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26"/>
      <c r="N41" s="122">
        <f>O41*12</f>
        <v>30480</v>
      </c>
      <c r="O41" s="122">
        <f>P41*1000</f>
        <v>2540</v>
      </c>
      <c r="P41" s="111">
        <f>2.54</f>
        <v>2.54</v>
      </c>
      <c r="S41" s="1"/>
      <c r="T41" s="153">
        <f>P41*1.04</f>
        <v>2.6415999999999999</v>
      </c>
    </row>
    <row r="42" spans="1:20" s="78" customFormat="1" ht="19.899999999999999" customHeight="1" x14ac:dyDescent="0.25">
      <c r="A42" s="108" t="s">
        <v>125</v>
      </c>
      <c r="B42" s="106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26"/>
      <c r="N42" s="122">
        <f>O42*12</f>
        <v>117360</v>
      </c>
      <c r="O42" s="122">
        <f>P42*1000</f>
        <v>9780</v>
      </c>
      <c r="P42" s="111">
        <v>9.7799999999999994</v>
      </c>
      <c r="S42" s="1"/>
      <c r="T42" s="153">
        <f>P42</f>
        <v>9.7799999999999994</v>
      </c>
    </row>
    <row r="43" spans="1:20" s="78" customFormat="1" ht="19.899999999999999" customHeight="1" x14ac:dyDescent="0.25">
      <c r="A43" s="132" t="s">
        <v>40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25"/>
      <c r="N43" s="125"/>
      <c r="O43" s="125"/>
      <c r="P43" s="137">
        <f>P44+P45</f>
        <v>1.6378613221806846</v>
      </c>
      <c r="S43" s="79">
        <f>P43*$S$48</f>
        <v>0.35198578452474405</v>
      </c>
      <c r="T43" s="152">
        <f>T44+T45</f>
        <v>0.35198578452474405</v>
      </c>
    </row>
    <row r="44" spans="1:20" s="78" customFormat="1" ht="19.899999999999999" customHeight="1" x14ac:dyDescent="0.25">
      <c r="A44" s="108" t="s">
        <v>152</v>
      </c>
      <c r="B44" s="108">
        <v>1.58</v>
      </c>
      <c r="C44" s="109">
        <f>ЗП!M10</f>
        <v>154.61664974619285</v>
      </c>
      <c r="D44" s="109">
        <f>B44*C44</f>
        <v>244.29430659898472</v>
      </c>
      <c r="E44" s="109">
        <f>D44*0.302</f>
        <v>73.776880592893377</v>
      </c>
      <c r="F44" s="109">
        <f>'Материалы, инвентарь'!E39</f>
        <v>156.1823</v>
      </c>
      <c r="G44" s="109">
        <f>'Спец одежда'!G13</f>
        <v>3030.048632</v>
      </c>
      <c r="H44" s="126">
        <f>D44*0.4429</f>
        <v>108.19794839269034</v>
      </c>
      <c r="I44" s="126">
        <f>(D44+E44+F44+G44)*0.964</f>
        <v>3378.14724290097</v>
      </c>
      <c r="J44" s="126">
        <f>D44+E44+F44+G44+H44+I44</f>
        <v>6990.6473104855377</v>
      </c>
      <c r="K44" s="126">
        <f>J44*0.1</f>
        <v>699.06473104855377</v>
      </c>
      <c r="L44" s="126">
        <f>(J44+K44)*0.18</f>
        <v>1384.1481674761365</v>
      </c>
      <c r="M44" s="126" t="s">
        <v>32</v>
      </c>
      <c r="N44" s="122">
        <f>J44+K44+L44</f>
        <v>9073.8602090102286</v>
      </c>
      <c r="O44" s="129">
        <f>N44/12</f>
        <v>756.15501741751905</v>
      </c>
      <c r="P44" s="123">
        <f>O44/1000</f>
        <v>0.756155017417519</v>
      </c>
      <c r="S44" s="1">
        <f>P44*$S$48</f>
        <v>0.16250204667734702</v>
      </c>
      <c r="T44" s="153">
        <v>0.16250204667734702</v>
      </c>
    </row>
    <row r="45" spans="1:20" s="78" customFormat="1" ht="19.899999999999999" customHeight="1" x14ac:dyDescent="0.25">
      <c r="A45" s="108" t="s">
        <v>143</v>
      </c>
      <c r="B45" s="108">
        <v>4.3600000000000003</v>
      </c>
      <c r="C45" s="109">
        <f>ЗП!M10</f>
        <v>154.61664974619285</v>
      </c>
      <c r="D45" s="109">
        <f>B45*C45</f>
        <v>674.12859289340088</v>
      </c>
      <c r="E45" s="109">
        <f>D45*0.302</f>
        <v>203.58683505380705</v>
      </c>
      <c r="F45" s="109">
        <f>'Материалы, инвентарь'!E43</f>
        <v>90.604799999999997</v>
      </c>
      <c r="G45" s="109">
        <f>'Спец одежда'!G13</f>
        <v>3030.048632</v>
      </c>
      <c r="H45" s="126">
        <f>D45*0.4429</f>
        <v>298.57155379248724</v>
      </c>
      <c r="I45" s="126">
        <f>(D45+E45+F45+G45)*0.964</f>
        <v>3854.4275809891083</v>
      </c>
      <c r="J45" s="126">
        <f>D45+E45+F45+G45+H45+I45</f>
        <v>8151.3679947288038</v>
      </c>
      <c r="K45" s="126">
        <f>J45*0.1</f>
        <v>815.1367994728804</v>
      </c>
      <c r="L45" s="126">
        <f>(J45+K45)*0.18</f>
        <v>1613.9708629563031</v>
      </c>
      <c r="M45" s="126" t="s">
        <v>46</v>
      </c>
      <c r="N45" s="122">
        <f>J45+K45+L45</f>
        <v>10580.475657157987</v>
      </c>
      <c r="O45" s="129">
        <f>N45/12</f>
        <v>881.70630476316558</v>
      </c>
      <c r="P45" s="123">
        <f>O45/1000</f>
        <v>0.88170630476316558</v>
      </c>
      <c r="S45" s="1">
        <f>P45*$S$48</f>
        <v>0.189483737847397</v>
      </c>
      <c r="T45" s="153">
        <v>0.189483737847397</v>
      </c>
    </row>
    <row r="46" spans="1:20" s="78" customFormat="1" ht="19.899999999999999" customHeight="1" x14ac:dyDescent="0.25">
      <c r="A46" s="132" t="s">
        <v>41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25"/>
      <c r="N46" s="125"/>
      <c r="O46" s="125"/>
      <c r="P46" s="137">
        <f>P47</f>
        <v>1.73</v>
      </c>
      <c r="S46" s="79">
        <f>P46*$S$48</f>
        <v>0.37178691442390077</v>
      </c>
      <c r="T46" s="152">
        <f>T47</f>
        <v>0.37178691442390077</v>
      </c>
    </row>
    <row r="47" spans="1:20" s="78" customFormat="1" ht="19.899999999999999" customHeight="1" x14ac:dyDescent="0.25">
      <c r="A47" s="108" t="s">
        <v>124</v>
      </c>
      <c r="B47" s="106"/>
      <c r="C47" s="108"/>
      <c r="D47" s="109"/>
      <c r="E47" s="109"/>
      <c r="F47" s="109"/>
      <c r="G47" s="109"/>
      <c r="H47" s="109"/>
      <c r="I47" s="109"/>
      <c r="J47" s="109"/>
      <c r="K47" s="109"/>
      <c r="L47" s="109"/>
      <c r="M47" s="126" t="s">
        <v>34</v>
      </c>
      <c r="N47" s="109">
        <f>P47*12*595</f>
        <v>12352.199999999999</v>
      </c>
      <c r="O47" s="129">
        <f>P47*12*595</f>
        <v>12352.199999999999</v>
      </c>
      <c r="P47" s="111">
        <v>1.73</v>
      </c>
      <c r="S47" s="1">
        <f>P47*$S$48</f>
        <v>0.37178691442390077</v>
      </c>
      <c r="T47" s="153">
        <v>0.37178691442390077</v>
      </c>
    </row>
    <row r="48" spans="1:20" ht="19.899999999999999" customHeight="1" x14ac:dyDescent="0.25">
      <c r="A48" s="106" t="s">
        <v>28</v>
      </c>
      <c r="B48" s="108"/>
      <c r="C48" s="108"/>
      <c r="D48" s="109">
        <f>SUM(D16:D47)</f>
        <v>61388.883094416218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>
        <f>SUM(N16:N47)</f>
        <v>614058.90996216238</v>
      </c>
      <c r="O48" s="129">
        <f>P48*12*595</f>
        <v>370367.69242748665</v>
      </c>
      <c r="P48" s="112">
        <f>P15+P20+P28+P40+P43+P46</f>
        <v>51.872225830180199</v>
      </c>
      <c r="Q48" s="141">
        <f>P48-P41-P42</f>
        <v>39.552225830180198</v>
      </c>
      <c r="R48" s="141">
        <f>20.92-2.64-9.78</f>
        <v>8.5000000000000018</v>
      </c>
      <c r="S48" s="1">
        <f>R48/Q48</f>
        <v>0.21490573088086751</v>
      </c>
      <c r="T48" s="149">
        <f>T15+T20+T28+T40+T43+T46</f>
        <v>20.921600000000002</v>
      </c>
    </row>
    <row r="49" spans="14:19" x14ac:dyDescent="0.25">
      <c r="N49" s="79"/>
      <c r="O49" s="80"/>
      <c r="P49" s="107"/>
    </row>
    <row r="52" spans="14:19" x14ac:dyDescent="0.25">
      <c r="S52" s="141"/>
    </row>
    <row r="74" spans="4:16" x14ac:dyDescent="0.25"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</row>
    <row r="75" spans="4:16" x14ac:dyDescent="0.25"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</row>
    <row r="76" spans="4:16" x14ac:dyDescent="0.25"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</row>
    <row r="77" spans="4:16" x14ac:dyDescent="0.25"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</row>
    <row r="78" spans="4:16" x14ac:dyDescent="0.25"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</row>
    <row r="79" spans="4:16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</row>
    <row r="80" spans="4:16" x14ac:dyDescent="0.25"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</row>
    <row r="81" spans="4:16" x14ac:dyDescent="0.25"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</row>
    <row r="82" spans="4:16" x14ac:dyDescent="0.25"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</row>
    <row r="83" spans="4:16" x14ac:dyDescent="0.25"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</row>
    <row r="84" spans="4:16" x14ac:dyDescent="0.25"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</row>
    <row r="85" spans="4:16" x14ac:dyDescent="0.25"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</row>
    <row r="86" spans="4:16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 x14ac:dyDescent="0.25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 x14ac:dyDescent="0.25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 x14ac:dyDescent="0.25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 x14ac:dyDescent="0.25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 x14ac:dyDescent="0.25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 x14ac:dyDescent="0.25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 x14ac:dyDescent="0.25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 x14ac:dyDescent="0.25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 x14ac:dyDescent="0.25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  <row r="100" spans="4:16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</row>
    <row r="101" spans="4:16" x14ac:dyDescent="0.25"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</row>
    <row r="102" spans="4:16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</row>
    <row r="103" spans="4:16" x14ac:dyDescent="0.25"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</row>
    <row r="104" spans="4:16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</row>
    <row r="105" spans="4:16" x14ac:dyDescent="0.25"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</row>
    <row r="106" spans="4:16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</row>
    <row r="107" spans="4:16" x14ac:dyDescent="0.25"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</row>
    <row r="108" spans="4:16" x14ac:dyDescent="0.25"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</row>
    <row r="109" spans="4:16" x14ac:dyDescent="0.25"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</row>
    <row r="110" spans="4:16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</row>
    <row r="111" spans="4:16" x14ac:dyDescent="0.25"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</row>
    <row r="112" spans="4:16" x14ac:dyDescent="0.25"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</row>
    <row r="113" spans="4:16" x14ac:dyDescent="0.25"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</row>
    <row r="114" spans="4:16" x14ac:dyDescent="0.25"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</row>
    <row r="115" spans="4:16" x14ac:dyDescent="0.25"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</row>
    <row r="116" spans="4:16" x14ac:dyDescent="0.25"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</row>
    <row r="117" spans="4:16" x14ac:dyDescent="0.25"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</row>
    <row r="118" spans="4:16" x14ac:dyDescent="0.25"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</row>
    <row r="119" spans="4:16" x14ac:dyDescent="0.25"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P119" s="1"/>
    </row>
    <row r="120" spans="4:16" x14ac:dyDescent="0.25"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P120" s="1"/>
    </row>
    <row r="121" spans="4:16" x14ac:dyDescent="0.25"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P121" s="1"/>
    </row>
    <row r="122" spans="4:16" x14ac:dyDescent="0.25"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P122" s="1"/>
    </row>
    <row r="123" spans="4:16" x14ac:dyDescent="0.25"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P123" s="1"/>
    </row>
  </sheetData>
  <mergeCells count="9">
    <mergeCell ref="A2:T2"/>
    <mergeCell ref="A3:T3"/>
    <mergeCell ref="A13:T13"/>
    <mergeCell ref="A7:T7"/>
    <mergeCell ref="A8:T8"/>
    <mergeCell ref="A9:T9"/>
    <mergeCell ref="A10:T10"/>
    <mergeCell ref="A11:T11"/>
    <mergeCell ref="A12:T12"/>
  </mergeCells>
  <pageMargins left="0.7" right="0.7" top="0.75" bottom="0.75" header="0.3" footer="0.3"/>
  <pageSetup paperSize="9" scale="70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G117"/>
  <sheetViews>
    <sheetView zoomScaleNormal="100" workbookViewId="0">
      <selection activeCell="A7" sqref="A7:T7"/>
    </sheetView>
  </sheetViews>
  <sheetFormatPr defaultColWidth="9.140625" defaultRowHeight="15" outlineLevelCol="1" x14ac:dyDescent="0.25"/>
  <cols>
    <col min="1" max="1" width="101.7109375" style="1" customWidth="1"/>
    <col min="2" max="2" width="14.5703125" style="1" hidden="1" customWidth="1" outlineLevel="1"/>
    <col min="3" max="3" width="14.85546875" style="1" hidden="1" customWidth="1" outlineLevel="1"/>
    <col min="4" max="8" width="14.85546875" style="7" hidden="1" customWidth="1" outlineLevel="1"/>
    <col min="9" max="10" width="16.28515625" style="7" hidden="1" customWidth="1" outlineLevel="1"/>
    <col min="11" max="11" width="16.42578125" style="7" hidden="1" customWidth="1" outlineLevel="1"/>
    <col min="12" max="12" width="14.85546875" style="7" hidden="1" customWidth="1" outlineLevel="1"/>
    <col min="13" max="13" width="23.7109375" style="7" hidden="1" customWidth="1" outlineLevel="1" collapsed="1"/>
    <col min="14" max="14" width="27" style="1" hidden="1" customWidth="1" outlineLevel="1"/>
    <col min="15" max="15" width="10.42578125" style="81" hidden="1" customWidth="1" outlineLevel="1"/>
    <col min="16" max="16" width="21.5703125" style="82" hidden="1" customWidth="1"/>
    <col min="17" max="17" width="6.5703125" style="1" hidden="1" customWidth="1"/>
    <col min="18" max="18" width="6.85546875" style="1" hidden="1" customWidth="1"/>
    <col min="19" max="19" width="11.5703125" style="1" hidden="1" customWidth="1"/>
    <col min="20" max="20" width="21.7109375" style="1" customWidth="1"/>
    <col min="21" max="16384" width="9.140625" style="1"/>
  </cols>
  <sheetData>
    <row r="2" spans="1:20" x14ac:dyDescent="0.25">
      <c r="A2" s="155" t="s">
        <v>174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x14ac:dyDescent="0.25">
      <c r="A3" s="155" t="s">
        <v>181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7" spans="1:20" ht="18.75" x14ac:dyDescent="0.3">
      <c r="A7" s="157" t="s">
        <v>122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</row>
    <row r="8" spans="1:20" ht="18.75" x14ac:dyDescent="0.3">
      <c r="A8" s="157" t="s">
        <v>123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</row>
    <row r="9" spans="1:20" ht="18.75" x14ac:dyDescent="0.3">
      <c r="A9" s="157" t="s">
        <v>157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1:20" ht="18.75" x14ac:dyDescent="0.3">
      <c r="A10" s="157" t="s">
        <v>176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1:20" ht="19.5" customHeight="1" x14ac:dyDescent="0.3">
      <c r="A11" s="157" t="s">
        <v>178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1:20" ht="20.25" customHeight="1" x14ac:dyDescent="0.3">
      <c r="A12" s="156" t="s">
        <v>166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ht="17.25" customHeight="1" x14ac:dyDescent="0.3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</row>
    <row r="14" spans="1:20" ht="63.6" customHeight="1" x14ac:dyDescent="0.25">
      <c r="A14" s="128" t="s">
        <v>116</v>
      </c>
      <c r="B14" s="128" t="s">
        <v>90</v>
      </c>
      <c r="C14" s="128" t="s">
        <v>53</v>
      </c>
      <c r="D14" s="134" t="s">
        <v>54</v>
      </c>
      <c r="E14" s="134" t="s">
        <v>26</v>
      </c>
      <c r="F14" s="134" t="s">
        <v>18</v>
      </c>
      <c r="G14" s="134" t="s">
        <v>55</v>
      </c>
      <c r="H14" s="134" t="s">
        <v>153</v>
      </c>
      <c r="I14" s="134" t="s">
        <v>52</v>
      </c>
      <c r="J14" s="134" t="s">
        <v>89</v>
      </c>
      <c r="K14" s="134" t="s">
        <v>25</v>
      </c>
      <c r="L14" s="134" t="s">
        <v>19</v>
      </c>
      <c r="M14" s="134" t="s">
        <v>50</v>
      </c>
      <c r="N14" s="128" t="s">
        <v>0</v>
      </c>
      <c r="O14" s="128" t="s">
        <v>91</v>
      </c>
      <c r="P14" s="135" t="s">
        <v>36</v>
      </c>
      <c r="T14" s="135" t="s">
        <v>36</v>
      </c>
    </row>
    <row r="15" spans="1:20" ht="34.15" customHeight="1" x14ac:dyDescent="0.25">
      <c r="A15" s="113" t="s">
        <v>160</v>
      </c>
      <c r="B15" s="127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27"/>
      <c r="N15" s="127"/>
      <c r="O15" s="127"/>
      <c r="P15" s="112">
        <f>P16+P17+P18+P19+P20+P21</f>
        <v>9.7330186254263378</v>
      </c>
      <c r="S15" s="79">
        <f t="shared" ref="S15:S33" si="0">P15*$S$42</f>
        <v>2.3502977188586125</v>
      </c>
      <c r="T15" s="149">
        <f>T16+T17+T18+T19+T20+T21</f>
        <v>2.3502977188586125</v>
      </c>
    </row>
    <row r="16" spans="1:20" s="25" customFormat="1" ht="19.899999999999999" customHeight="1" x14ac:dyDescent="0.25">
      <c r="A16" s="120" t="s">
        <v>137</v>
      </c>
      <c r="B16" s="140">
        <v>1.89</v>
      </c>
      <c r="C16" s="122">
        <f>ЗП!M10</f>
        <v>154.61664974619285</v>
      </c>
      <c r="D16" s="122">
        <f t="shared" ref="D16:D21" si="1">B16*C16</f>
        <v>292.22546802030445</v>
      </c>
      <c r="E16" s="122">
        <f t="shared" ref="E16:E21" si="2">D16*0.302</f>
        <v>88.252091342131934</v>
      </c>
      <c r="F16" s="122">
        <v>0</v>
      </c>
      <c r="G16" s="122">
        <f>'Спец одежда'!G13</f>
        <v>3030.048632</v>
      </c>
      <c r="H16" s="122">
        <f>D16*0.4429</f>
        <v>129.42665978619286</v>
      </c>
      <c r="I16" s="122">
        <f t="shared" ref="I16:I21" si="3">(D16+E16+F16+G16)*0.964</f>
        <v>3287.7472484733885</v>
      </c>
      <c r="J16" s="122">
        <f t="shared" ref="J16:J21" si="4">D16+E16+F16+G16+H16+I16</f>
        <v>6827.7000996220177</v>
      </c>
      <c r="K16" s="122">
        <f t="shared" ref="K16:K21" si="5">J16*0.1</f>
        <v>682.77000996220181</v>
      </c>
      <c r="L16" s="122">
        <f t="shared" ref="L16:L21" si="6">(J16+K16)*0.18</f>
        <v>1351.8846197251594</v>
      </c>
      <c r="M16" s="122" t="s">
        <v>48</v>
      </c>
      <c r="N16" s="122">
        <f>J16+K16+L16</f>
        <v>8862.3547293093779</v>
      </c>
      <c r="O16" s="122">
        <f>N16/12</f>
        <v>738.52956077578153</v>
      </c>
      <c r="P16" s="123">
        <f t="shared" ref="P16:P18" si="7">O16/1000</f>
        <v>0.73852956077578158</v>
      </c>
      <c r="S16" s="1">
        <f t="shared" si="0"/>
        <v>0.17833771913951724</v>
      </c>
      <c r="T16" s="150">
        <v>0.17833771913951724</v>
      </c>
    </row>
    <row r="17" spans="1:33" ht="19.899999999999999" customHeight="1" x14ac:dyDescent="0.25">
      <c r="A17" s="108" t="s">
        <v>148</v>
      </c>
      <c r="B17" s="140">
        <v>8.34</v>
      </c>
      <c r="C17" s="122">
        <f>ЗП!M10</f>
        <v>154.61664974619285</v>
      </c>
      <c r="D17" s="122">
        <f t="shared" si="1"/>
        <v>1289.5028588832483</v>
      </c>
      <c r="E17" s="122">
        <f t="shared" si="2"/>
        <v>389.42986338274096</v>
      </c>
      <c r="F17" s="122">
        <v>0</v>
      </c>
      <c r="G17" s="122">
        <f>'Спец одежда'!G13</f>
        <v>3030.048632</v>
      </c>
      <c r="H17" s="122">
        <f t="shared" ref="H17:H20" si="8">D17*0.4429</f>
        <v>571.12081619939067</v>
      </c>
      <c r="I17" s="122">
        <f t="shared" si="3"/>
        <v>4539.4580255124138</v>
      </c>
      <c r="J17" s="122">
        <f t="shared" si="4"/>
        <v>9819.5601959777941</v>
      </c>
      <c r="K17" s="122">
        <f t="shared" si="5"/>
        <v>981.95601959777946</v>
      </c>
      <c r="L17" s="122">
        <f t="shared" si="6"/>
        <v>1944.272918803603</v>
      </c>
      <c r="M17" s="122" t="s">
        <v>45</v>
      </c>
      <c r="N17" s="122">
        <f>J17+K17+L17</f>
        <v>12745.789134379176</v>
      </c>
      <c r="O17" s="122">
        <f>N17/12</f>
        <v>1062.1490945315979</v>
      </c>
      <c r="P17" s="123">
        <f t="shared" si="7"/>
        <v>1.0621490945315979</v>
      </c>
      <c r="S17" s="1">
        <f t="shared" si="0"/>
        <v>0.25648431283629708</v>
      </c>
      <c r="T17" s="151">
        <v>0.25648431283629708</v>
      </c>
    </row>
    <row r="18" spans="1:33" s="25" customFormat="1" ht="39" customHeight="1" x14ac:dyDescent="0.25">
      <c r="A18" s="120" t="s">
        <v>145</v>
      </c>
      <c r="B18" s="140">
        <v>0.01</v>
      </c>
      <c r="C18" s="122">
        <f>ЗП!M10</f>
        <v>154.61664974619285</v>
      </c>
      <c r="D18" s="122">
        <f t="shared" si="1"/>
        <v>1.5461664974619285</v>
      </c>
      <c r="E18" s="122">
        <f t="shared" si="2"/>
        <v>0.46694228223350237</v>
      </c>
      <c r="F18" s="122">
        <v>0</v>
      </c>
      <c r="G18" s="122">
        <f>'Спец одежда'!G13</f>
        <v>3030.048632</v>
      </c>
      <c r="H18" s="122">
        <f t="shared" si="8"/>
        <v>0.68479714172588813</v>
      </c>
      <c r="I18" s="122">
        <f t="shared" si="3"/>
        <v>2922.9075181116264</v>
      </c>
      <c r="J18" s="122">
        <f t="shared" si="4"/>
        <v>5955.6540560330477</v>
      </c>
      <c r="K18" s="122">
        <f t="shared" si="5"/>
        <v>595.56540560330484</v>
      </c>
      <c r="L18" s="122">
        <f t="shared" si="6"/>
        <v>1179.2195030945434</v>
      </c>
      <c r="M18" s="122" t="s">
        <v>45</v>
      </c>
      <c r="N18" s="122">
        <f t="shared" ref="N18" si="9">J18+K18+L18</f>
        <v>7730.4389647308953</v>
      </c>
      <c r="O18" s="122">
        <f t="shared" ref="O18" si="10">N18/12</f>
        <v>644.20324706090798</v>
      </c>
      <c r="P18" s="123">
        <f t="shared" si="7"/>
        <v>0.64420324706090804</v>
      </c>
      <c r="S18" s="1">
        <f t="shared" si="0"/>
        <v>0.15556010733332404</v>
      </c>
      <c r="T18" s="150">
        <v>0.15556010733332404</v>
      </c>
    </row>
    <row r="19" spans="1:33" ht="19.899999999999999" customHeight="1" x14ac:dyDescent="0.25">
      <c r="A19" s="108" t="s">
        <v>139</v>
      </c>
      <c r="B19" s="108">
        <v>16.72</v>
      </c>
      <c r="C19" s="109">
        <f>ЗП!M10</f>
        <v>154.61664974619285</v>
      </c>
      <c r="D19" s="122">
        <f t="shared" si="1"/>
        <v>2585.1903837563441</v>
      </c>
      <c r="E19" s="122">
        <f t="shared" si="2"/>
        <v>780.72749589441594</v>
      </c>
      <c r="F19" s="109">
        <v>0</v>
      </c>
      <c r="G19" s="109">
        <f>'Спец одежда'!G13</f>
        <v>3030.048632</v>
      </c>
      <c r="H19" s="122">
        <f t="shared" si="8"/>
        <v>1144.9808209656849</v>
      </c>
      <c r="I19" s="122">
        <f t="shared" si="3"/>
        <v>6165.7117172313328</v>
      </c>
      <c r="J19" s="122">
        <f t="shared" si="4"/>
        <v>13706.659049847778</v>
      </c>
      <c r="K19" s="122">
        <f t="shared" si="5"/>
        <v>1370.6659049847779</v>
      </c>
      <c r="L19" s="122">
        <f t="shared" si="6"/>
        <v>2713.9184918698602</v>
      </c>
      <c r="M19" s="126" t="s">
        <v>33</v>
      </c>
      <c r="N19" s="122">
        <f>J19+K19+L19</f>
        <v>17791.243446702418</v>
      </c>
      <c r="O19" s="129">
        <f>N19/12</f>
        <v>1482.6036205585349</v>
      </c>
      <c r="P19" s="123">
        <f>O19/1000</f>
        <v>1.4826036205585349</v>
      </c>
      <c r="S19" s="1">
        <f t="shared" si="0"/>
        <v>0.35801430588730732</v>
      </c>
      <c r="T19" s="151">
        <v>0.35801430588730732</v>
      </c>
    </row>
    <row r="20" spans="1:33" ht="19.899999999999999" customHeight="1" x14ac:dyDescent="0.25">
      <c r="A20" s="108" t="s">
        <v>140</v>
      </c>
      <c r="B20" s="108">
        <v>49.01</v>
      </c>
      <c r="C20" s="109">
        <f>ЗП!M10</f>
        <v>154.61664974619285</v>
      </c>
      <c r="D20" s="122">
        <f t="shared" si="1"/>
        <v>7577.7620040609108</v>
      </c>
      <c r="E20" s="122">
        <f t="shared" si="2"/>
        <v>2288.484125226395</v>
      </c>
      <c r="F20" s="109">
        <v>0</v>
      </c>
      <c r="G20" s="109">
        <f>'Спец одежда'!G13</f>
        <v>3030.048632</v>
      </c>
      <c r="H20" s="122">
        <f t="shared" si="8"/>
        <v>3356.1907915985776</v>
      </c>
      <c r="I20" s="122">
        <f t="shared" si="3"/>
        <v>12432.028149880962</v>
      </c>
      <c r="J20" s="122">
        <f t="shared" si="4"/>
        <v>28684.513702766846</v>
      </c>
      <c r="K20" s="122">
        <f t="shared" si="5"/>
        <v>2868.4513702766849</v>
      </c>
      <c r="L20" s="122">
        <f t="shared" si="6"/>
        <v>5679.5337131478354</v>
      </c>
      <c r="M20" s="126" t="s">
        <v>33</v>
      </c>
      <c r="N20" s="122">
        <f>J20+K20+L20</f>
        <v>37232.498786191369</v>
      </c>
      <c r="O20" s="129">
        <f>N20/12</f>
        <v>3102.7082321826142</v>
      </c>
      <c r="P20" s="123">
        <f t="shared" ref="P20:P21" si="11">O20/1000</f>
        <v>3.1027082321826143</v>
      </c>
      <c r="S20" s="1">
        <f t="shared" si="0"/>
        <v>0.74923190440963638</v>
      </c>
      <c r="T20" s="151">
        <v>0.74923190440963638</v>
      </c>
    </row>
    <row r="21" spans="1:33" ht="19.899999999999999" customHeight="1" x14ac:dyDescent="0.25">
      <c r="A21" s="108" t="s">
        <v>141</v>
      </c>
      <c r="B21" s="108">
        <v>41.04</v>
      </c>
      <c r="C21" s="109">
        <f>ЗП!M10</f>
        <v>154.61664974619285</v>
      </c>
      <c r="D21" s="122">
        <f t="shared" si="1"/>
        <v>6345.4673055837548</v>
      </c>
      <c r="E21" s="122">
        <f t="shared" si="2"/>
        <v>1916.331126286294</v>
      </c>
      <c r="F21" s="109">
        <v>0</v>
      </c>
      <c r="G21" s="109">
        <f>'Спец одежда'!G13</f>
        <v>3030.048632</v>
      </c>
      <c r="H21" s="122">
        <f>D21*0.4429</f>
        <v>2810.4074696430453</v>
      </c>
      <c r="I21" s="122">
        <f t="shared" si="3"/>
        <v>10885.340569570728</v>
      </c>
      <c r="J21" s="122">
        <f t="shared" si="4"/>
        <v>24987.595103083822</v>
      </c>
      <c r="K21" s="122">
        <f t="shared" si="5"/>
        <v>2498.7595103083822</v>
      </c>
      <c r="L21" s="122">
        <f t="shared" si="6"/>
        <v>4947.5438304105974</v>
      </c>
      <c r="M21" s="126" t="s">
        <v>44</v>
      </c>
      <c r="N21" s="122">
        <f>J21+K21+L21</f>
        <v>32433.898443802806</v>
      </c>
      <c r="O21" s="129">
        <f>N21/12</f>
        <v>2702.8248703169006</v>
      </c>
      <c r="P21" s="123">
        <f t="shared" si="11"/>
        <v>2.7028248703169004</v>
      </c>
      <c r="S21" s="1">
        <f t="shared" si="0"/>
        <v>0.65266936925253016</v>
      </c>
      <c r="T21" s="151">
        <v>0.65266936925253016</v>
      </c>
    </row>
    <row r="22" spans="1:33" s="78" customFormat="1" ht="19.899999999999999" customHeight="1" x14ac:dyDescent="0.25">
      <c r="A22" s="118" t="s">
        <v>164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36">
        <f>P23+P24+P25+P26+P27+P28+P29+P30+P31</f>
        <v>13.278471122041653</v>
      </c>
      <c r="S22" s="79">
        <f t="shared" si="0"/>
        <v>3.2064420699387521</v>
      </c>
      <c r="T22" s="152">
        <f>T23+T24+T25+T26+T27+T28+T29+T30+T31</f>
        <v>3.2064420699387517</v>
      </c>
    </row>
    <row r="23" spans="1:33" ht="19.899999999999999" customHeight="1" x14ac:dyDescent="0.25">
      <c r="A23" s="108" t="s">
        <v>132</v>
      </c>
      <c r="B23" s="108">
        <v>0.39</v>
      </c>
      <c r="C23" s="109">
        <f>ЗП!M11</f>
        <v>155.61502538071065</v>
      </c>
      <c r="D23" s="126">
        <f>B23*C23</f>
        <v>60.689859898477152</v>
      </c>
      <c r="E23" s="126">
        <f t="shared" ref="E23:E30" si="12">D23*0.302</f>
        <v>18.328337689340099</v>
      </c>
      <c r="F23" s="109">
        <v>0</v>
      </c>
      <c r="G23" s="109">
        <f>'Спец одежда'!G35</f>
        <v>3077.8574320000002</v>
      </c>
      <c r="H23" s="126">
        <f>D23*0.4429</f>
        <v>26.879538949035531</v>
      </c>
      <c r="I23" s="126">
        <f t="shared" ref="I23:I30" si="13">(D23+E23+F23+G23)*0.964</f>
        <v>3043.228106922656</v>
      </c>
      <c r="J23" s="126">
        <f t="shared" ref="J23:J30" si="14">D23+E23+F23+G23+H23+I23</f>
        <v>6226.9832754595091</v>
      </c>
      <c r="K23" s="126">
        <f t="shared" ref="K23:K30" si="15">J23*0.1</f>
        <v>622.69832754595097</v>
      </c>
      <c r="L23" s="126">
        <f t="shared" ref="L23:L30" si="16">(J23+K23)*0.18</f>
        <v>1232.9426885409828</v>
      </c>
      <c r="M23" s="122" t="s">
        <v>32</v>
      </c>
      <c r="N23" s="122">
        <f t="shared" ref="N23:N25" si="17">J23+K23+L23</f>
        <v>8082.6242915464427</v>
      </c>
      <c r="O23" s="129">
        <f t="shared" ref="O23:O25" si="18">N23/12</f>
        <v>673.55202429553685</v>
      </c>
      <c r="P23" s="123">
        <f t="shared" ref="P23:P25" si="19">O23/1000</f>
        <v>0.67355202429553684</v>
      </c>
      <c r="Q23" s="78"/>
      <c r="R23" s="78"/>
      <c r="S23" s="1">
        <f t="shared" si="0"/>
        <v>0.16264715471712746</v>
      </c>
      <c r="T23" s="153">
        <v>0.16264715471712746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ht="19.899999999999999" customHeight="1" x14ac:dyDescent="0.25">
      <c r="A24" s="108" t="s">
        <v>142</v>
      </c>
      <c r="B24" s="108">
        <v>9.8000000000000007</v>
      </c>
      <c r="C24" s="109">
        <f>ЗП!M11</f>
        <v>155.61502538071065</v>
      </c>
      <c r="D24" s="126">
        <f>B24*C24</f>
        <v>1525.0272487309644</v>
      </c>
      <c r="E24" s="126">
        <f t="shared" si="12"/>
        <v>460.55822911675125</v>
      </c>
      <c r="F24" s="109">
        <v>0</v>
      </c>
      <c r="G24" s="109">
        <f>'Спец одежда'!G35</f>
        <v>3077.8574320000002</v>
      </c>
      <c r="H24" s="126">
        <f t="shared" ref="H24:H25" si="20">D24*0.4429</f>
        <v>675.43456846294418</v>
      </c>
      <c r="I24" s="126">
        <f t="shared" si="13"/>
        <v>4881.1589650931983</v>
      </c>
      <c r="J24" s="126">
        <f t="shared" si="14"/>
        <v>10620.036443403858</v>
      </c>
      <c r="K24" s="126">
        <f t="shared" si="15"/>
        <v>1062.0036443403858</v>
      </c>
      <c r="L24" s="126">
        <f t="shared" si="16"/>
        <v>2102.7672157939637</v>
      </c>
      <c r="M24" s="122"/>
      <c r="N24" s="122">
        <f t="shared" si="17"/>
        <v>13784.807303538208</v>
      </c>
      <c r="O24" s="129">
        <f t="shared" si="18"/>
        <v>1148.7339419615173</v>
      </c>
      <c r="P24" s="123">
        <f t="shared" si="19"/>
        <v>1.1487339419615172</v>
      </c>
      <c r="Q24" s="78"/>
      <c r="R24" s="78"/>
      <c r="S24" s="1">
        <f t="shared" si="0"/>
        <v>0.27739254051302636</v>
      </c>
      <c r="T24" s="153">
        <v>0.27739254051302636</v>
      </c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 ht="19.899999999999999" customHeight="1" x14ac:dyDescent="0.25">
      <c r="A25" s="108" t="s">
        <v>130</v>
      </c>
      <c r="B25" s="138">
        <v>4</v>
      </c>
      <c r="C25" s="109">
        <f>ЗП!M10</f>
        <v>154.61664974619285</v>
      </c>
      <c r="D25" s="126">
        <f>B25*C25</f>
        <v>618.46659898477139</v>
      </c>
      <c r="E25" s="126">
        <f t="shared" si="12"/>
        <v>186.77691289340095</v>
      </c>
      <c r="F25" s="109">
        <v>0</v>
      </c>
      <c r="G25" s="109">
        <f>'Спец одежда'!G35</f>
        <v>3077.8574320000002</v>
      </c>
      <c r="H25" s="126">
        <f t="shared" si="20"/>
        <v>273.91885669035526</v>
      </c>
      <c r="I25" s="126">
        <f t="shared" si="13"/>
        <v>3743.3093098985582</v>
      </c>
      <c r="J25" s="126">
        <f t="shared" si="14"/>
        <v>7900.3291104670861</v>
      </c>
      <c r="K25" s="126">
        <f t="shared" si="15"/>
        <v>790.0329110467087</v>
      </c>
      <c r="L25" s="126">
        <f t="shared" si="16"/>
        <v>1564.2651638724828</v>
      </c>
      <c r="M25" s="122" t="s">
        <v>32</v>
      </c>
      <c r="N25" s="122">
        <f t="shared" si="17"/>
        <v>10254.627185386278</v>
      </c>
      <c r="O25" s="129">
        <f t="shared" si="18"/>
        <v>854.55226544885647</v>
      </c>
      <c r="P25" s="123">
        <f t="shared" si="19"/>
        <v>0.85455226544885643</v>
      </c>
      <c r="Q25" s="78"/>
      <c r="R25" s="78"/>
      <c r="S25" s="1">
        <f t="shared" si="0"/>
        <v>0.20635450495112248</v>
      </c>
      <c r="T25" s="153">
        <v>0.20635450495112248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s="78" customFormat="1" ht="19.899999999999999" customHeight="1" x14ac:dyDescent="0.25">
      <c r="A26" s="120" t="s">
        <v>129</v>
      </c>
      <c r="B26" s="108">
        <v>7.54</v>
      </c>
      <c r="C26" s="109">
        <f>ЗП!M9</f>
        <v>155.61502538071065</v>
      </c>
      <c r="D26" s="109">
        <f>B26*C26</f>
        <v>1173.3372913705582</v>
      </c>
      <c r="E26" s="109">
        <f t="shared" si="12"/>
        <v>354.34786199390857</v>
      </c>
      <c r="F26" s="109">
        <v>0</v>
      </c>
      <c r="G26" s="109">
        <f>'Спец одежда'!G25</f>
        <v>3277.048632</v>
      </c>
      <c r="H26" s="126">
        <f>D26*0.4429</f>
        <v>519.67108634802025</v>
      </c>
      <c r="I26" s="126">
        <f t="shared" si="13"/>
        <v>4631.7633690913453</v>
      </c>
      <c r="J26" s="126">
        <f t="shared" si="14"/>
        <v>9956.1682408038323</v>
      </c>
      <c r="K26" s="126">
        <f t="shared" si="15"/>
        <v>995.61682408038325</v>
      </c>
      <c r="L26" s="126">
        <f t="shared" si="16"/>
        <v>1971.3213116791587</v>
      </c>
      <c r="M26" s="126" t="s">
        <v>33</v>
      </c>
      <c r="N26" s="122">
        <f>J26+K26+L26</f>
        <v>12923.106376563375</v>
      </c>
      <c r="O26" s="129">
        <f>N26/12</f>
        <v>1076.9255313802812</v>
      </c>
      <c r="P26" s="123">
        <f>O26/1000</f>
        <v>1.0769255313802812</v>
      </c>
      <c r="S26" s="1">
        <f t="shared" si="0"/>
        <v>0.26005247880359456</v>
      </c>
      <c r="T26" s="153">
        <v>0.26005247880359456</v>
      </c>
    </row>
    <row r="27" spans="1:33" s="78" customFormat="1" ht="39" customHeight="1" x14ac:dyDescent="0.25">
      <c r="A27" s="108" t="s">
        <v>146</v>
      </c>
      <c r="B27" s="108">
        <v>31.8</v>
      </c>
      <c r="C27" s="109">
        <f>ЗП!M9</f>
        <v>155.61502538071065</v>
      </c>
      <c r="D27" s="109">
        <f>B27*C27</f>
        <v>4948.5578071065984</v>
      </c>
      <c r="E27" s="109">
        <f t="shared" si="12"/>
        <v>1494.4644577461927</v>
      </c>
      <c r="F27" s="109">
        <v>0</v>
      </c>
      <c r="G27" s="109">
        <f>'Спец одежда'!G25</f>
        <v>3277.048632</v>
      </c>
      <c r="H27" s="126">
        <f>D27*0.4429</f>
        <v>2191.7162527675123</v>
      </c>
      <c r="I27" s="126">
        <f t="shared" si="13"/>
        <v>9370.1483445660906</v>
      </c>
      <c r="J27" s="126">
        <f t="shared" si="14"/>
        <v>21281.935494186393</v>
      </c>
      <c r="K27" s="126">
        <f t="shared" si="15"/>
        <v>2128.1935494186396</v>
      </c>
      <c r="L27" s="126">
        <f t="shared" si="16"/>
        <v>4213.8232278489058</v>
      </c>
      <c r="M27" s="122" t="s">
        <v>43</v>
      </c>
      <c r="N27" s="122">
        <f>J27+K27+L27</f>
        <v>27623.952271453938</v>
      </c>
      <c r="O27" s="129">
        <f>N27/12</f>
        <v>2301.9960226211615</v>
      </c>
      <c r="P27" s="123">
        <f>O27/1000</f>
        <v>2.3019960226211613</v>
      </c>
      <c r="S27" s="1">
        <f t="shared" si="0"/>
        <v>0.55587852124870685</v>
      </c>
      <c r="T27" s="153">
        <v>0.55587852124870685</v>
      </c>
    </row>
    <row r="28" spans="1:33" ht="19.899999999999999" customHeight="1" x14ac:dyDescent="0.25">
      <c r="A28" s="130" t="s">
        <v>128</v>
      </c>
      <c r="B28" s="108">
        <v>19.86</v>
      </c>
      <c r="C28" s="109">
        <f>ЗП!M9</f>
        <v>155.61502538071065</v>
      </c>
      <c r="D28" s="109">
        <f>B28*C28*2</f>
        <v>6181.0288081218268</v>
      </c>
      <c r="E28" s="109">
        <f t="shared" si="12"/>
        <v>1866.6707000527917</v>
      </c>
      <c r="F28" s="109">
        <f>'Материалы, инвентарь'!E33</f>
        <v>1356.24</v>
      </c>
      <c r="G28" s="109">
        <f>'Спец одежда'!G25</f>
        <v>3277.048632</v>
      </c>
      <c r="H28" s="126">
        <f t="shared" ref="H28:H29" si="21">D28*0.4429</f>
        <v>2737.5776591171571</v>
      </c>
      <c r="I28" s="126">
        <f t="shared" si="13"/>
        <v>12224.472567128332</v>
      </c>
      <c r="J28" s="126">
        <f t="shared" si="14"/>
        <v>27643.038366420107</v>
      </c>
      <c r="K28" s="126">
        <f t="shared" si="15"/>
        <v>2764.303836642011</v>
      </c>
      <c r="L28" s="126">
        <f t="shared" si="16"/>
        <v>5473.3215965511808</v>
      </c>
      <c r="M28" s="122"/>
      <c r="N28" s="122">
        <f>J28+K28+L28</f>
        <v>35880.663799613299</v>
      </c>
      <c r="O28" s="129">
        <f>N28/12</f>
        <v>2990.0553166344416</v>
      </c>
      <c r="P28" s="123">
        <f>O28/1000</f>
        <v>2.9900553166344417</v>
      </c>
      <c r="S28" s="1">
        <f t="shared" si="0"/>
        <v>0.72202884432877223</v>
      </c>
      <c r="T28" s="151">
        <v>0.72202884432877223</v>
      </c>
    </row>
    <row r="29" spans="1:33" ht="19.899999999999999" customHeight="1" x14ac:dyDescent="0.25">
      <c r="A29" s="131" t="s">
        <v>149</v>
      </c>
      <c r="B29" s="108">
        <v>2.8</v>
      </c>
      <c r="C29" s="109">
        <f>ЗП!M9</f>
        <v>155.61502538071065</v>
      </c>
      <c r="D29" s="109">
        <f>B29*C29</f>
        <v>435.72207106598978</v>
      </c>
      <c r="E29" s="109">
        <f t="shared" si="12"/>
        <v>131.58806546192892</v>
      </c>
      <c r="F29" s="109">
        <v>0</v>
      </c>
      <c r="G29" s="109">
        <f>'Спец одежда'!G35</f>
        <v>3077.8574320000002</v>
      </c>
      <c r="H29" s="126">
        <f t="shared" si="21"/>
        <v>192.98130527512689</v>
      </c>
      <c r="I29" s="126">
        <f t="shared" si="13"/>
        <v>3513.9415360609137</v>
      </c>
      <c r="J29" s="126">
        <f t="shared" si="14"/>
        <v>7352.0904098639594</v>
      </c>
      <c r="K29" s="126">
        <f t="shared" si="15"/>
        <v>735.20904098639596</v>
      </c>
      <c r="L29" s="126">
        <f t="shared" si="16"/>
        <v>1455.7139011530639</v>
      </c>
      <c r="M29" s="122" t="s">
        <v>31</v>
      </c>
      <c r="N29" s="122">
        <f>J29+K29+L29</f>
        <v>9543.0133520034196</v>
      </c>
      <c r="O29" s="129">
        <f>N29/12</f>
        <v>795.2511126669516</v>
      </c>
      <c r="P29" s="123">
        <f>O29/1000</f>
        <v>0.79525111266695159</v>
      </c>
      <c r="S29" s="1">
        <f t="shared" si="0"/>
        <v>0.19203465522383484</v>
      </c>
      <c r="T29" s="151">
        <v>0.19203465522383484</v>
      </c>
    </row>
    <row r="30" spans="1:33" s="78" customFormat="1" ht="32.450000000000003" customHeight="1" x14ac:dyDescent="0.25">
      <c r="A30" s="108" t="s">
        <v>147</v>
      </c>
      <c r="B30" s="108">
        <f>1.98+3.76</f>
        <v>5.74</v>
      </c>
      <c r="C30" s="109">
        <f>ЗП!M9+ЗП!M12</f>
        <v>311.2300507614213</v>
      </c>
      <c r="D30" s="109">
        <f>B30*C30</f>
        <v>1786.4604913705582</v>
      </c>
      <c r="E30" s="109">
        <f t="shared" si="12"/>
        <v>539.51106839390854</v>
      </c>
      <c r="F30" s="109">
        <v>0</v>
      </c>
      <c r="G30" s="109">
        <f>'Спец одежда'!G49+'Спец одежда'!G25</f>
        <v>6869.1860639999995</v>
      </c>
      <c r="H30" s="126">
        <f>D30*0.4429</f>
        <v>791.22335162802028</v>
      </c>
      <c r="I30" s="126">
        <f t="shared" si="13"/>
        <v>8864.131949308945</v>
      </c>
      <c r="J30" s="126">
        <f t="shared" si="14"/>
        <v>18850.512924701434</v>
      </c>
      <c r="K30" s="126">
        <f t="shared" si="15"/>
        <v>1885.0512924701434</v>
      </c>
      <c r="L30" s="126">
        <f t="shared" si="16"/>
        <v>3732.4015590908839</v>
      </c>
      <c r="M30" s="122" t="s">
        <v>34</v>
      </c>
      <c r="N30" s="122">
        <f>J30+K30+L30</f>
        <v>24467.965776262463</v>
      </c>
      <c r="O30" s="129">
        <f>N30/12</f>
        <v>2038.9971480218719</v>
      </c>
      <c r="P30" s="123">
        <f>O30/1000</f>
        <v>2.0389971480218718</v>
      </c>
      <c r="S30" s="1">
        <f t="shared" si="0"/>
        <v>0.492370407391993</v>
      </c>
      <c r="T30" s="153">
        <v>0.492370407391993</v>
      </c>
    </row>
    <row r="31" spans="1:33" s="78" customFormat="1" ht="19.899999999999999" customHeight="1" x14ac:dyDescent="0.25">
      <c r="A31" s="110" t="s">
        <v>127</v>
      </c>
      <c r="B31" s="108"/>
      <c r="C31" s="138"/>
      <c r="D31" s="138"/>
      <c r="E31" s="138"/>
      <c r="F31" s="138"/>
      <c r="G31" s="138"/>
      <c r="H31" s="122"/>
      <c r="I31" s="122"/>
      <c r="J31" s="122"/>
      <c r="K31" s="122"/>
      <c r="L31" s="122"/>
      <c r="M31" s="126"/>
      <c r="N31" s="122"/>
      <c r="O31" s="129"/>
      <c r="P31" s="123">
        <f>P32+P33</f>
        <v>1.3984077590110338</v>
      </c>
      <c r="S31" s="1">
        <f t="shared" si="0"/>
        <v>0.33768296276057419</v>
      </c>
      <c r="T31" s="153">
        <v>0.33768296276057419</v>
      </c>
    </row>
    <row r="32" spans="1:33" s="78" customFormat="1" ht="19.899999999999999" customHeight="1" x14ac:dyDescent="0.25">
      <c r="A32" s="110" t="s">
        <v>150</v>
      </c>
      <c r="B32" s="108">
        <v>0.06</v>
      </c>
      <c r="C32" s="109">
        <f>ЗП!M9</f>
        <v>155.61502538071065</v>
      </c>
      <c r="D32" s="109">
        <f>B32*C32</f>
        <v>9.3369015228426377</v>
      </c>
      <c r="E32" s="109">
        <f>D32*0.302</f>
        <v>2.8197442598984765</v>
      </c>
      <c r="F32" s="109">
        <v>0</v>
      </c>
      <c r="G32" s="109">
        <f>'Спец одежда'!G25</f>
        <v>3277.048632</v>
      </c>
      <c r="H32" s="126">
        <f>D32*0.4429</f>
        <v>4.135313684467004</v>
      </c>
      <c r="I32" s="126">
        <f>(D32+E32+F32+G32)*0.964</f>
        <v>3170.7938877825623</v>
      </c>
      <c r="J32" s="126">
        <f>D32+E32+F32+G32+H32+I32</f>
        <v>6464.1344792497703</v>
      </c>
      <c r="K32" s="126">
        <f>J32*0.1</f>
        <v>646.41344792497705</v>
      </c>
      <c r="L32" s="126">
        <f>(J32+K32)*0.18</f>
        <v>1279.8986268914543</v>
      </c>
      <c r="M32" s="126" t="s">
        <v>144</v>
      </c>
      <c r="N32" s="122">
        <f>J32+K32+L32</f>
        <v>8390.4465540662022</v>
      </c>
      <c r="O32" s="129">
        <f>N32/12</f>
        <v>699.20387950551685</v>
      </c>
      <c r="P32" s="123">
        <f>O32/1000</f>
        <v>0.69920387950551688</v>
      </c>
      <c r="S32" s="1">
        <f t="shared" si="0"/>
        <v>0.1688414813802871</v>
      </c>
      <c r="T32" s="153">
        <v>0.1688414813802871</v>
      </c>
    </row>
    <row r="33" spans="1:20" s="78" customFormat="1" ht="15.75" x14ac:dyDescent="0.25">
      <c r="A33" s="110" t="s">
        <v>151</v>
      </c>
      <c r="B33" s="108">
        <v>0.06</v>
      </c>
      <c r="C33" s="109">
        <f>ЗП!M9</f>
        <v>155.61502538071065</v>
      </c>
      <c r="D33" s="109">
        <f>B33*C33</f>
        <v>9.3369015228426377</v>
      </c>
      <c r="E33" s="109">
        <f>D33*0.302</f>
        <v>2.8197442598984765</v>
      </c>
      <c r="F33" s="109">
        <v>0</v>
      </c>
      <c r="G33" s="109">
        <f>'Спец одежда'!G25</f>
        <v>3277.048632</v>
      </c>
      <c r="H33" s="126">
        <f>D33*0.4429</f>
        <v>4.135313684467004</v>
      </c>
      <c r="I33" s="126">
        <f>(D33+E33+F33+G33)*0.964</f>
        <v>3170.7938877825623</v>
      </c>
      <c r="J33" s="126">
        <f>D33+E33+F33+G33+H33+I33</f>
        <v>6464.1344792497703</v>
      </c>
      <c r="K33" s="126">
        <f>J33*0.1</f>
        <v>646.41344792497705</v>
      </c>
      <c r="L33" s="126">
        <f>(J33+K33)*0.18</f>
        <v>1279.8986268914543</v>
      </c>
      <c r="M33" s="126" t="s">
        <v>144</v>
      </c>
      <c r="N33" s="122">
        <f>J33+K33+L33</f>
        <v>8390.4465540662022</v>
      </c>
      <c r="O33" s="129">
        <f>N33/12</f>
        <v>699.20387950551685</v>
      </c>
      <c r="P33" s="123">
        <f>O33/1000</f>
        <v>0.69920387950551688</v>
      </c>
      <c r="S33" s="1">
        <f t="shared" si="0"/>
        <v>0.1688414813802871</v>
      </c>
      <c r="T33" s="153">
        <v>0.1688414813802871</v>
      </c>
    </row>
    <row r="34" spans="1:20" s="78" customFormat="1" ht="15.75" x14ac:dyDescent="0.25">
      <c r="A34" s="132" t="s">
        <v>163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25"/>
      <c r="N34" s="125"/>
      <c r="O34" s="125"/>
      <c r="P34" s="137">
        <f>P35+P36</f>
        <v>12.32</v>
      </c>
      <c r="S34" s="79"/>
      <c r="T34" s="152">
        <f>T35+T36</f>
        <v>12.4216</v>
      </c>
    </row>
    <row r="35" spans="1:20" s="78" customFormat="1" ht="15.75" x14ac:dyDescent="0.25">
      <c r="A35" s="108" t="s">
        <v>126</v>
      </c>
      <c r="B35" s="106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26"/>
      <c r="N35" s="122">
        <f>O35*12</f>
        <v>30480</v>
      </c>
      <c r="O35" s="122">
        <f>P35*1000</f>
        <v>2540</v>
      </c>
      <c r="P35" s="111">
        <f>2.54</f>
        <v>2.54</v>
      </c>
      <c r="S35" s="1"/>
      <c r="T35" s="153">
        <f>P35*1.04</f>
        <v>2.6415999999999999</v>
      </c>
    </row>
    <row r="36" spans="1:20" s="78" customFormat="1" ht="15.75" x14ac:dyDescent="0.25">
      <c r="A36" s="108" t="s">
        <v>125</v>
      </c>
      <c r="B36" s="106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26"/>
      <c r="N36" s="122">
        <f>O36*12</f>
        <v>117360</v>
      </c>
      <c r="O36" s="122">
        <f>P36*1000</f>
        <v>9780</v>
      </c>
      <c r="P36" s="111">
        <v>9.7799999999999994</v>
      </c>
      <c r="S36" s="1"/>
      <c r="T36" s="153">
        <f>P36</f>
        <v>9.7799999999999994</v>
      </c>
    </row>
    <row r="37" spans="1:20" s="78" customFormat="1" ht="15.75" x14ac:dyDescent="0.25">
      <c r="A37" s="132" t="s">
        <v>162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25"/>
      <c r="N37" s="125"/>
      <c r="O37" s="125"/>
      <c r="P37" s="137">
        <f>P38+P39</f>
        <v>1.6378613221806846</v>
      </c>
      <c r="S37" s="79">
        <f>P37*$S$42</f>
        <v>0.39550543130286003</v>
      </c>
      <c r="T37" s="152">
        <f>T38+T39</f>
        <v>0.39550543130286003</v>
      </c>
    </row>
    <row r="38" spans="1:20" s="78" customFormat="1" ht="15.75" x14ac:dyDescent="0.25">
      <c r="A38" s="108" t="s">
        <v>152</v>
      </c>
      <c r="B38" s="108">
        <v>1.58</v>
      </c>
      <c r="C38" s="109">
        <f>ЗП!M10</f>
        <v>154.61664974619285</v>
      </c>
      <c r="D38" s="109">
        <f>B38*C38</f>
        <v>244.29430659898472</v>
      </c>
      <c r="E38" s="109">
        <f>D38*0.302</f>
        <v>73.776880592893377</v>
      </c>
      <c r="F38" s="109">
        <f>'Материалы, инвентарь'!E39</f>
        <v>156.1823</v>
      </c>
      <c r="G38" s="109">
        <f>'Спец одежда'!G13</f>
        <v>3030.048632</v>
      </c>
      <c r="H38" s="126">
        <f>D38*0.4429</f>
        <v>108.19794839269034</v>
      </c>
      <c r="I38" s="126">
        <f>(D38+E38+F38+G38)*0.964</f>
        <v>3378.14724290097</v>
      </c>
      <c r="J38" s="126">
        <f>D38+E38+F38+G38+H38+I38</f>
        <v>6990.6473104855377</v>
      </c>
      <c r="K38" s="126">
        <f>J38*0.1</f>
        <v>699.06473104855377</v>
      </c>
      <c r="L38" s="126">
        <f>(J38+K38)*0.18</f>
        <v>1384.1481674761365</v>
      </c>
      <c r="M38" s="126" t="s">
        <v>32</v>
      </c>
      <c r="N38" s="122">
        <f>J38+K38+L38</f>
        <v>9073.8602090102286</v>
      </c>
      <c r="O38" s="129">
        <f>N38/12</f>
        <v>756.15501741751905</v>
      </c>
      <c r="P38" s="123">
        <f>O38/1000</f>
        <v>0.756155017417519</v>
      </c>
      <c r="S38" s="1">
        <f>P38*$S$42</f>
        <v>0.18259385715107912</v>
      </c>
      <c r="T38" s="153">
        <v>0.18259385715107912</v>
      </c>
    </row>
    <row r="39" spans="1:20" s="78" customFormat="1" ht="15.75" x14ac:dyDescent="0.25">
      <c r="A39" s="108" t="s">
        <v>143</v>
      </c>
      <c r="B39" s="108">
        <v>4.3600000000000003</v>
      </c>
      <c r="C39" s="109">
        <f>ЗП!M10</f>
        <v>154.61664974619285</v>
      </c>
      <c r="D39" s="109">
        <f>B39*C39</f>
        <v>674.12859289340088</v>
      </c>
      <c r="E39" s="109">
        <f>D39*0.302</f>
        <v>203.58683505380705</v>
      </c>
      <c r="F39" s="109">
        <f>'Материалы, инвентарь'!E43</f>
        <v>90.604799999999997</v>
      </c>
      <c r="G39" s="109">
        <f>'Спец одежда'!G13</f>
        <v>3030.048632</v>
      </c>
      <c r="H39" s="126">
        <f>D39*0.4429</f>
        <v>298.57155379248724</v>
      </c>
      <c r="I39" s="126">
        <f>(D39+E39+F39+G39)*0.964</f>
        <v>3854.4275809891083</v>
      </c>
      <c r="J39" s="126">
        <f>D39+E39+F39+G39+H39+I39</f>
        <v>8151.3679947288038</v>
      </c>
      <c r="K39" s="126">
        <f>J39*0.1</f>
        <v>815.1367994728804</v>
      </c>
      <c r="L39" s="126">
        <f>(J39+K39)*0.18</f>
        <v>1613.9708629563031</v>
      </c>
      <c r="M39" s="126" t="s">
        <v>46</v>
      </c>
      <c r="N39" s="122">
        <f>J39+K39+L39</f>
        <v>10580.475657157987</v>
      </c>
      <c r="O39" s="129">
        <f>N39/12</f>
        <v>881.70630476316558</v>
      </c>
      <c r="P39" s="123">
        <f>O39/1000</f>
        <v>0.88170630476316558</v>
      </c>
      <c r="S39" s="1">
        <f>P39*$S$42</f>
        <v>0.21291157415178091</v>
      </c>
      <c r="T39" s="153">
        <v>0.21291157415178091</v>
      </c>
    </row>
    <row r="40" spans="1:20" s="78" customFormat="1" ht="15.75" x14ac:dyDescent="0.25">
      <c r="A40" s="132" t="s">
        <v>161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25"/>
      <c r="N40" s="125"/>
      <c r="O40" s="125"/>
      <c r="P40" s="137">
        <f>P41</f>
        <v>1.73</v>
      </c>
      <c r="S40" s="79">
        <f>P40*$S$42</f>
        <v>0.41775477989977594</v>
      </c>
      <c r="T40" s="152">
        <f>T41</f>
        <v>0.41775477989977594</v>
      </c>
    </row>
    <row r="41" spans="1:20" s="78" customFormat="1" ht="15.75" x14ac:dyDescent="0.25">
      <c r="A41" s="108" t="s">
        <v>124</v>
      </c>
      <c r="B41" s="106"/>
      <c r="C41" s="108"/>
      <c r="D41" s="109"/>
      <c r="E41" s="109"/>
      <c r="F41" s="109"/>
      <c r="G41" s="109"/>
      <c r="H41" s="109"/>
      <c r="I41" s="109"/>
      <c r="J41" s="109"/>
      <c r="K41" s="109"/>
      <c r="L41" s="109"/>
      <c r="M41" s="126" t="s">
        <v>34</v>
      </c>
      <c r="N41" s="109">
        <f>P41*12*595</f>
        <v>12352.199999999999</v>
      </c>
      <c r="O41" s="129">
        <f>P41*12*595</f>
        <v>12352.199999999999</v>
      </c>
      <c r="P41" s="111">
        <v>1.73</v>
      </c>
      <c r="S41" s="1">
        <f>P41*$S$42</f>
        <v>0.41775477989977594</v>
      </c>
      <c r="T41" s="153">
        <v>0.41775477989977594</v>
      </c>
    </row>
    <row r="42" spans="1:20" ht="15.75" x14ac:dyDescent="0.25">
      <c r="A42" s="106" t="s">
        <v>28</v>
      </c>
      <c r="B42" s="108"/>
      <c r="C42" s="108"/>
      <c r="D42" s="109">
        <f>SUM(D15:D41)</f>
        <v>35758.081065989842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>
        <f>SUM(N15:N41)</f>
        <v>455984.41283578414</v>
      </c>
      <c r="O42" s="129">
        <f>P42*12*595</f>
        <v>276313.3666372915</v>
      </c>
      <c r="P42" s="112">
        <f>P15+P22+P34+P37+P40</f>
        <v>38.699351069648671</v>
      </c>
      <c r="Q42" s="141">
        <f>P42-P35-P36</f>
        <v>26.379351069648671</v>
      </c>
      <c r="R42" s="141">
        <f>18.79-2.64-9.78</f>
        <v>6.3699999999999992</v>
      </c>
      <c r="S42" s="1">
        <f>R42/Q42</f>
        <v>0.24147675138715372</v>
      </c>
      <c r="T42" s="149">
        <f>T15+T22+T34+T37+T40</f>
        <v>18.791599999999999</v>
      </c>
    </row>
    <row r="43" spans="1:20" x14ac:dyDescent="0.25">
      <c r="N43" s="79"/>
      <c r="O43" s="80"/>
      <c r="P43" s="107"/>
    </row>
    <row r="46" spans="1:20" x14ac:dyDescent="0.25">
      <c r="S46" s="141"/>
    </row>
    <row r="68" spans="4:16" x14ac:dyDescent="0.25"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</row>
    <row r="69" spans="4:16" x14ac:dyDescent="0.25"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</row>
    <row r="70" spans="4:16" x14ac:dyDescent="0.25"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</row>
    <row r="71" spans="4:16" x14ac:dyDescent="0.25"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</row>
    <row r="72" spans="4:16" x14ac:dyDescent="0.25"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</row>
    <row r="73" spans="4:16" x14ac:dyDescent="0.25"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</row>
    <row r="74" spans="4:16" x14ac:dyDescent="0.25"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</row>
    <row r="75" spans="4:16" x14ac:dyDescent="0.25"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</row>
    <row r="76" spans="4:16" x14ac:dyDescent="0.25"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</row>
    <row r="77" spans="4:16" x14ac:dyDescent="0.25"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</row>
    <row r="78" spans="4:16" x14ac:dyDescent="0.25"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</row>
    <row r="79" spans="4:16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</row>
    <row r="80" spans="4:16" x14ac:dyDescent="0.25"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</row>
    <row r="81" spans="4:16" x14ac:dyDescent="0.25"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</row>
    <row r="82" spans="4:16" x14ac:dyDescent="0.25"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</row>
    <row r="83" spans="4:16" x14ac:dyDescent="0.25"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</row>
    <row r="84" spans="4:16" x14ac:dyDescent="0.25"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</row>
    <row r="85" spans="4:16" x14ac:dyDescent="0.25"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</row>
    <row r="86" spans="4:16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 x14ac:dyDescent="0.25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 x14ac:dyDescent="0.25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 x14ac:dyDescent="0.25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 x14ac:dyDescent="0.25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 x14ac:dyDescent="0.25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 x14ac:dyDescent="0.25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 x14ac:dyDescent="0.25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 x14ac:dyDescent="0.25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 x14ac:dyDescent="0.25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  <row r="100" spans="4:16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</row>
    <row r="101" spans="4:16" x14ac:dyDescent="0.25"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</row>
    <row r="102" spans="4:16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</row>
    <row r="103" spans="4:16" x14ac:dyDescent="0.25"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</row>
    <row r="104" spans="4:16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</row>
    <row r="105" spans="4:16" x14ac:dyDescent="0.25"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</row>
    <row r="106" spans="4:16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P106" s="1"/>
    </row>
    <row r="107" spans="4:16" x14ac:dyDescent="0.25"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P107" s="1"/>
    </row>
    <row r="108" spans="4:16" x14ac:dyDescent="0.25"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</row>
    <row r="109" spans="4:16" x14ac:dyDescent="0.25"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</row>
    <row r="110" spans="4:16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</row>
    <row r="111" spans="4:16" x14ac:dyDescent="0.25"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P111" s="1"/>
    </row>
    <row r="112" spans="4:16" x14ac:dyDescent="0.25"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P112" s="1"/>
    </row>
    <row r="113" spans="4:16" x14ac:dyDescent="0.25"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P113" s="1"/>
    </row>
    <row r="114" spans="4:16" x14ac:dyDescent="0.25"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P114" s="1"/>
    </row>
    <row r="115" spans="4:16" x14ac:dyDescent="0.25"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P115" s="1"/>
    </row>
    <row r="116" spans="4:16" x14ac:dyDescent="0.25"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P116" s="1"/>
    </row>
    <row r="117" spans="4:16" x14ac:dyDescent="0.25"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P117" s="1"/>
    </row>
  </sheetData>
  <mergeCells count="9">
    <mergeCell ref="A2:T2"/>
    <mergeCell ref="A3:T3"/>
    <mergeCell ref="A12:T12"/>
    <mergeCell ref="A13:T13"/>
    <mergeCell ref="A7:T7"/>
    <mergeCell ref="A8:T8"/>
    <mergeCell ref="A9:T9"/>
    <mergeCell ref="A10:T10"/>
    <mergeCell ref="A11:T11"/>
  </mergeCells>
  <pageMargins left="0.7" right="0.7" top="0.75" bottom="0.75" header="0.3" footer="0.3"/>
  <pageSetup paperSize="9" scale="70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G105"/>
  <sheetViews>
    <sheetView topLeftCell="A19" zoomScaleNormal="100" workbookViewId="0">
      <selection activeCell="A12" sqref="A12:T12"/>
    </sheetView>
  </sheetViews>
  <sheetFormatPr defaultColWidth="9.140625" defaultRowHeight="15" outlineLevelCol="1" x14ac:dyDescent="0.25"/>
  <cols>
    <col min="1" max="1" width="91.7109375" style="1" customWidth="1"/>
    <col min="2" max="2" width="14.5703125" style="1" hidden="1" customWidth="1" outlineLevel="1"/>
    <col min="3" max="3" width="14.85546875" style="1" hidden="1" customWidth="1" outlineLevel="1"/>
    <col min="4" max="8" width="14.85546875" style="7" hidden="1" customWidth="1" outlineLevel="1"/>
    <col min="9" max="10" width="16.28515625" style="7" hidden="1" customWidth="1" outlineLevel="1"/>
    <col min="11" max="11" width="16.42578125" style="7" hidden="1" customWidth="1" outlineLevel="1"/>
    <col min="12" max="12" width="14.85546875" style="7" hidden="1" customWidth="1" outlineLevel="1"/>
    <col min="13" max="13" width="23.7109375" style="7" hidden="1" customWidth="1" outlineLevel="1" collapsed="1"/>
    <col min="14" max="14" width="27" style="1" hidden="1" customWidth="1" outlineLevel="1"/>
    <col min="15" max="15" width="10.42578125" style="81" hidden="1" customWidth="1" outlineLevel="1"/>
    <col min="16" max="16" width="21.5703125" style="82" hidden="1" customWidth="1"/>
    <col min="17" max="17" width="22" style="1" hidden="1" customWidth="1"/>
    <col min="18" max="18" width="12" style="1" hidden="1" customWidth="1"/>
    <col min="19" max="19" width="11.7109375" style="1" hidden="1" customWidth="1"/>
    <col min="20" max="20" width="22.28515625" style="1" customWidth="1"/>
    <col min="21" max="16384" width="9.140625" style="1"/>
  </cols>
  <sheetData>
    <row r="2" spans="1:20" x14ac:dyDescent="0.25">
      <c r="A2" s="155" t="s">
        <v>175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x14ac:dyDescent="0.25">
      <c r="A3" s="155" t="s">
        <v>180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7" spans="1:20" ht="18.75" x14ac:dyDescent="0.3">
      <c r="A7" s="157" t="s">
        <v>122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</row>
    <row r="8" spans="1:20" ht="18.75" x14ac:dyDescent="0.3">
      <c r="A8" s="157" t="s">
        <v>123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</row>
    <row r="9" spans="1:20" ht="18.75" x14ac:dyDescent="0.3">
      <c r="A9" s="157" t="s">
        <v>157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1:20" ht="18.75" x14ac:dyDescent="0.3">
      <c r="A10" s="157" t="s">
        <v>177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1:20" ht="18.75" x14ac:dyDescent="0.3">
      <c r="A11" s="156" t="s">
        <v>167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</row>
    <row r="12" spans="1:20" ht="17.25" customHeight="1" x14ac:dyDescent="0.3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ht="63" x14ac:dyDescent="0.25">
      <c r="A13" s="128" t="s">
        <v>116</v>
      </c>
      <c r="B13" s="128" t="s">
        <v>90</v>
      </c>
      <c r="C13" s="128" t="s">
        <v>53</v>
      </c>
      <c r="D13" s="134" t="s">
        <v>54</v>
      </c>
      <c r="E13" s="134" t="s">
        <v>26</v>
      </c>
      <c r="F13" s="134" t="s">
        <v>18</v>
      </c>
      <c r="G13" s="134" t="s">
        <v>55</v>
      </c>
      <c r="H13" s="134" t="s">
        <v>153</v>
      </c>
      <c r="I13" s="134" t="s">
        <v>52</v>
      </c>
      <c r="J13" s="134" t="s">
        <v>89</v>
      </c>
      <c r="K13" s="134" t="s">
        <v>25</v>
      </c>
      <c r="L13" s="134" t="s">
        <v>19</v>
      </c>
      <c r="M13" s="134" t="s">
        <v>50</v>
      </c>
      <c r="N13" s="128" t="s">
        <v>0</v>
      </c>
      <c r="O13" s="128" t="s">
        <v>91</v>
      </c>
      <c r="P13" s="135" t="s">
        <v>36</v>
      </c>
      <c r="T13" s="135" t="s">
        <v>36</v>
      </c>
    </row>
    <row r="14" spans="1:20" ht="34.15" customHeight="1" x14ac:dyDescent="0.25">
      <c r="A14" s="113" t="s">
        <v>160</v>
      </c>
      <c r="B14" s="12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27"/>
      <c r="N14" s="127"/>
      <c r="O14" s="127"/>
      <c r="P14" s="112">
        <f>P15</f>
        <v>0.64420324706090804</v>
      </c>
      <c r="S14" s="1">
        <f>P14*$S$30</f>
        <v>0.28681911584304126</v>
      </c>
      <c r="T14" s="149">
        <f>T15</f>
        <v>0.28681911584304126</v>
      </c>
    </row>
    <row r="15" spans="1:20" s="25" customFormat="1" ht="39" customHeight="1" x14ac:dyDescent="0.25">
      <c r="A15" s="120" t="s">
        <v>145</v>
      </c>
      <c r="B15" s="140">
        <v>0.01</v>
      </c>
      <c r="C15" s="122">
        <f>ЗП!M10</f>
        <v>154.61664974619285</v>
      </c>
      <c r="D15" s="122">
        <f t="shared" ref="D15" si="0">B15*C15</f>
        <v>1.5461664974619285</v>
      </c>
      <c r="E15" s="122">
        <f t="shared" ref="E15" si="1">D15*0.302</f>
        <v>0.46694228223350237</v>
      </c>
      <c r="F15" s="122">
        <v>0</v>
      </c>
      <c r="G15" s="122">
        <f>'Спец одежда'!G13</f>
        <v>3030.048632</v>
      </c>
      <c r="H15" s="122">
        <f t="shared" ref="H15" si="2">D15*0.4429</f>
        <v>0.68479714172588813</v>
      </c>
      <c r="I15" s="122">
        <f t="shared" ref="I15" si="3">(D15+E15+F15+G15)*0.964</f>
        <v>2922.9075181116264</v>
      </c>
      <c r="J15" s="122">
        <f t="shared" ref="J15" si="4">D15+E15+F15+G15+H15+I15</f>
        <v>5955.6540560330477</v>
      </c>
      <c r="K15" s="122">
        <f t="shared" ref="K15" si="5">J15*0.1</f>
        <v>595.56540560330484</v>
      </c>
      <c r="L15" s="122">
        <f t="shared" ref="L15" si="6">(J15+K15)*0.18</f>
        <v>1179.2195030945434</v>
      </c>
      <c r="M15" s="122" t="s">
        <v>45</v>
      </c>
      <c r="N15" s="122">
        <f t="shared" ref="N15" si="7">J15+K15+L15</f>
        <v>7730.4389647308953</v>
      </c>
      <c r="O15" s="122">
        <f t="shared" ref="O15" si="8">N15/12</f>
        <v>644.20324706090798</v>
      </c>
      <c r="P15" s="123">
        <f t="shared" ref="P15" si="9">O15/1000</f>
        <v>0.64420324706090804</v>
      </c>
      <c r="S15" s="1">
        <f t="shared" ref="S15:S29" si="10">P15*$S$30</f>
        <v>0.28681911584304126</v>
      </c>
      <c r="T15" s="150">
        <v>0.28681911584304126</v>
      </c>
    </row>
    <row r="16" spans="1:20" s="78" customFormat="1" ht="19.899999999999999" customHeight="1" x14ac:dyDescent="0.25">
      <c r="A16" s="118" t="s">
        <v>164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36">
        <f>P17+P18+P19+P20+P21</f>
        <v>5.5110864923947336</v>
      </c>
      <c r="S16" s="1">
        <f t="shared" si="10"/>
        <v>2.4537053519907746</v>
      </c>
      <c r="T16" s="152">
        <f>T17+T18+T19+T20+T21</f>
        <v>2.4537053519907746</v>
      </c>
    </row>
    <row r="17" spans="1:33" ht="19.899999999999999" customHeight="1" x14ac:dyDescent="0.25">
      <c r="A17" s="108" t="s">
        <v>132</v>
      </c>
      <c r="B17" s="108">
        <v>0.39</v>
      </c>
      <c r="C17" s="109">
        <f>ЗП!M11</f>
        <v>155.61502538071065</v>
      </c>
      <c r="D17" s="126">
        <f>B17*C17</f>
        <v>60.689859898477152</v>
      </c>
      <c r="E17" s="126">
        <f t="shared" ref="E17:E21" si="11">D17*0.302</f>
        <v>18.328337689340099</v>
      </c>
      <c r="F17" s="109">
        <v>0</v>
      </c>
      <c r="G17" s="109">
        <f>'Спец одежда'!G35</f>
        <v>3077.8574320000002</v>
      </c>
      <c r="H17" s="126">
        <f>D17*0.4429</f>
        <v>26.879538949035531</v>
      </c>
      <c r="I17" s="126">
        <f t="shared" ref="I17:I21" si="12">(D17+E17+F17+G17)*0.964</f>
        <v>3043.228106922656</v>
      </c>
      <c r="J17" s="126">
        <f t="shared" ref="J17:J21" si="13">D17+E17+F17+G17+H17+I17</f>
        <v>6226.9832754595091</v>
      </c>
      <c r="K17" s="126">
        <f t="shared" ref="K17:K21" si="14">J17*0.1</f>
        <v>622.69832754595097</v>
      </c>
      <c r="L17" s="126">
        <f t="shared" ref="L17:L21" si="15">(J17+K17)*0.18</f>
        <v>1232.9426885409828</v>
      </c>
      <c r="M17" s="122" t="s">
        <v>32</v>
      </c>
      <c r="N17" s="122">
        <f t="shared" ref="N17:N19" si="16">J17+K17+L17</f>
        <v>8082.6242915464427</v>
      </c>
      <c r="O17" s="129">
        <f t="shared" ref="O17:O19" si="17">N17/12</f>
        <v>673.55202429553685</v>
      </c>
      <c r="P17" s="123">
        <f t="shared" ref="P17:P19" si="18">O17/1000</f>
        <v>0.67355202429553684</v>
      </c>
      <c r="Q17" s="78"/>
      <c r="R17" s="78"/>
      <c r="S17" s="1">
        <f t="shared" si="10"/>
        <v>0.29988609489959783</v>
      </c>
      <c r="T17" s="153">
        <v>0.29988609489959783</v>
      </c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ht="19.899999999999999" customHeight="1" x14ac:dyDescent="0.25">
      <c r="A18" s="108" t="s">
        <v>142</v>
      </c>
      <c r="B18" s="108">
        <v>9.8000000000000007</v>
      </c>
      <c r="C18" s="109">
        <f>ЗП!M11</f>
        <v>155.61502538071065</v>
      </c>
      <c r="D18" s="126">
        <f>B18*C18</f>
        <v>1525.0272487309644</v>
      </c>
      <c r="E18" s="126">
        <f t="shared" si="11"/>
        <v>460.55822911675125</v>
      </c>
      <c r="F18" s="109">
        <v>0</v>
      </c>
      <c r="G18" s="109">
        <f>'Спец одежда'!G35</f>
        <v>3077.8574320000002</v>
      </c>
      <c r="H18" s="126">
        <f t="shared" ref="H18:H20" si="19">D18*0.4429</f>
        <v>675.43456846294418</v>
      </c>
      <c r="I18" s="126">
        <f t="shared" si="12"/>
        <v>4881.1589650931983</v>
      </c>
      <c r="J18" s="126">
        <f t="shared" si="13"/>
        <v>10620.036443403858</v>
      </c>
      <c r="K18" s="126">
        <f t="shared" si="14"/>
        <v>1062.0036443403858</v>
      </c>
      <c r="L18" s="126">
        <f t="shared" si="15"/>
        <v>2102.7672157939637</v>
      </c>
      <c r="M18" s="122"/>
      <c r="N18" s="122">
        <f t="shared" si="16"/>
        <v>13784.807303538208</v>
      </c>
      <c r="O18" s="129">
        <f t="shared" si="17"/>
        <v>1148.7339419615173</v>
      </c>
      <c r="P18" s="123">
        <f t="shared" si="18"/>
        <v>1.1487339419615172</v>
      </c>
      <c r="Q18" s="78"/>
      <c r="R18" s="78"/>
      <c r="S18" s="1">
        <f t="shared" si="10"/>
        <v>0.51145171197987205</v>
      </c>
      <c r="T18" s="153">
        <v>0.51145171197987205</v>
      </c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ht="19.899999999999999" customHeight="1" x14ac:dyDescent="0.25">
      <c r="A19" s="108" t="s">
        <v>130</v>
      </c>
      <c r="B19" s="138">
        <v>4</v>
      </c>
      <c r="C19" s="109">
        <f>ЗП!M10</f>
        <v>154.61664974619285</v>
      </c>
      <c r="D19" s="126">
        <f>B19*C19</f>
        <v>618.46659898477139</v>
      </c>
      <c r="E19" s="126">
        <f t="shared" si="11"/>
        <v>186.77691289340095</v>
      </c>
      <c r="F19" s="109">
        <v>0</v>
      </c>
      <c r="G19" s="109">
        <f>'Спец одежда'!G35</f>
        <v>3077.8574320000002</v>
      </c>
      <c r="H19" s="126">
        <f t="shared" si="19"/>
        <v>273.91885669035526</v>
      </c>
      <c r="I19" s="126">
        <f t="shared" si="12"/>
        <v>3743.3093098985582</v>
      </c>
      <c r="J19" s="126">
        <f t="shared" si="13"/>
        <v>7900.3291104670861</v>
      </c>
      <c r="K19" s="126">
        <f t="shared" si="14"/>
        <v>790.0329110467087</v>
      </c>
      <c r="L19" s="126">
        <f t="shared" si="15"/>
        <v>1564.2651638724828</v>
      </c>
      <c r="M19" s="122" t="s">
        <v>32</v>
      </c>
      <c r="N19" s="122">
        <f t="shared" si="16"/>
        <v>10254.627185386278</v>
      </c>
      <c r="O19" s="129">
        <f t="shared" si="17"/>
        <v>854.55226544885647</v>
      </c>
      <c r="P19" s="123">
        <f t="shared" si="18"/>
        <v>0.85455226544885643</v>
      </c>
      <c r="Q19" s="78"/>
      <c r="R19" s="78"/>
      <c r="S19" s="1">
        <f t="shared" si="10"/>
        <v>0.38047297391926227</v>
      </c>
      <c r="T19" s="153">
        <v>0.38047297391926227</v>
      </c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3" ht="19.899999999999999" customHeight="1" x14ac:dyDescent="0.25">
      <c r="A20" s="131" t="s">
        <v>149</v>
      </c>
      <c r="B20" s="108">
        <v>2.8</v>
      </c>
      <c r="C20" s="109">
        <f>ЗП!M9</f>
        <v>155.61502538071065</v>
      </c>
      <c r="D20" s="109">
        <f>B20*C20</f>
        <v>435.72207106598978</v>
      </c>
      <c r="E20" s="109">
        <f t="shared" si="11"/>
        <v>131.58806546192892</v>
      </c>
      <c r="F20" s="109">
        <v>0</v>
      </c>
      <c r="G20" s="109">
        <f>'Спец одежда'!G35</f>
        <v>3077.8574320000002</v>
      </c>
      <c r="H20" s="126">
        <f t="shared" si="19"/>
        <v>192.98130527512689</v>
      </c>
      <c r="I20" s="126">
        <f t="shared" si="12"/>
        <v>3513.9415360609137</v>
      </c>
      <c r="J20" s="126">
        <f t="shared" si="13"/>
        <v>7352.0904098639594</v>
      </c>
      <c r="K20" s="126">
        <f t="shared" si="14"/>
        <v>735.20904098639596</v>
      </c>
      <c r="L20" s="126">
        <f t="shared" si="15"/>
        <v>1455.7139011530639</v>
      </c>
      <c r="M20" s="122" t="s">
        <v>31</v>
      </c>
      <c r="N20" s="122">
        <f>J20+K20+L20</f>
        <v>9543.0133520034196</v>
      </c>
      <c r="O20" s="129">
        <f>N20/12</f>
        <v>795.2511126669516</v>
      </c>
      <c r="P20" s="123">
        <f>O20/1000</f>
        <v>0.79525111266695159</v>
      </c>
      <c r="S20" s="1">
        <f t="shared" si="10"/>
        <v>0.35407027525703255</v>
      </c>
      <c r="T20" s="151">
        <v>0.35407027525703255</v>
      </c>
    </row>
    <row r="21" spans="1:33" s="78" customFormat="1" ht="32.450000000000003" customHeight="1" x14ac:dyDescent="0.25">
      <c r="A21" s="108" t="s">
        <v>147</v>
      </c>
      <c r="B21" s="108">
        <f>1.98+3.76</f>
        <v>5.74</v>
      </c>
      <c r="C21" s="109">
        <f>ЗП!M9+ЗП!M12</f>
        <v>311.2300507614213</v>
      </c>
      <c r="D21" s="109">
        <f>B21*C21</f>
        <v>1786.4604913705582</v>
      </c>
      <c r="E21" s="109">
        <f t="shared" si="11"/>
        <v>539.51106839390854</v>
      </c>
      <c r="F21" s="109">
        <v>0</v>
      </c>
      <c r="G21" s="109">
        <f>'Спец одежда'!G49+'Спец одежда'!G25</f>
        <v>6869.1860639999995</v>
      </c>
      <c r="H21" s="126">
        <f>D21*0.4429</f>
        <v>791.22335162802028</v>
      </c>
      <c r="I21" s="126">
        <f t="shared" si="12"/>
        <v>8864.131949308945</v>
      </c>
      <c r="J21" s="126">
        <f t="shared" si="13"/>
        <v>18850.512924701434</v>
      </c>
      <c r="K21" s="126">
        <f t="shared" si="14"/>
        <v>1885.0512924701434</v>
      </c>
      <c r="L21" s="126">
        <f t="shared" si="15"/>
        <v>3732.4015590908839</v>
      </c>
      <c r="M21" s="122" t="s">
        <v>34</v>
      </c>
      <c r="N21" s="122">
        <f>J21+K21+L21</f>
        <v>24467.965776262463</v>
      </c>
      <c r="O21" s="129">
        <f>N21/12</f>
        <v>2038.9971480218719</v>
      </c>
      <c r="P21" s="123">
        <f>O21/1000</f>
        <v>2.0389971480218718</v>
      </c>
      <c r="S21" s="1">
        <f t="shared" si="10"/>
        <v>0.90782429593500991</v>
      </c>
      <c r="T21" s="153">
        <v>0.90782429593500991</v>
      </c>
    </row>
    <row r="22" spans="1:33" s="78" customFormat="1" ht="19.899999999999999" customHeight="1" x14ac:dyDescent="0.25">
      <c r="A22" s="132" t="s">
        <v>163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25"/>
      <c r="N22" s="125"/>
      <c r="O22" s="125"/>
      <c r="P22" s="137">
        <f>P23+P24</f>
        <v>12.32</v>
      </c>
      <c r="S22" s="1">
        <f t="shared" si="10"/>
        <v>5.4852432416444703</v>
      </c>
      <c r="T22" s="152">
        <f>T23+T24</f>
        <v>12.4216</v>
      </c>
    </row>
    <row r="23" spans="1:33" s="78" customFormat="1" ht="19.899999999999999" customHeight="1" x14ac:dyDescent="0.25">
      <c r="A23" s="108" t="s">
        <v>126</v>
      </c>
      <c r="B23" s="106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26"/>
      <c r="N23" s="122">
        <f>O23*12</f>
        <v>30480</v>
      </c>
      <c r="O23" s="122">
        <f>P23*1000</f>
        <v>2540</v>
      </c>
      <c r="P23" s="111">
        <v>2.54</v>
      </c>
      <c r="S23" s="1">
        <f t="shared" si="10"/>
        <v>1.130886187806571</v>
      </c>
      <c r="T23" s="153">
        <f>2.54*1.04</f>
        <v>2.6415999999999999</v>
      </c>
    </row>
    <row r="24" spans="1:33" s="78" customFormat="1" ht="19.899999999999999" customHeight="1" x14ac:dyDescent="0.25">
      <c r="A24" s="108" t="s">
        <v>125</v>
      </c>
      <c r="B24" s="106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26"/>
      <c r="N24" s="122">
        <f>O24*12</f>
        <v>117360</v>
      </c>
      <c r="O24" s="122">
        <f>P24*1000</f>
        <v>9780</v>
      </c>
      <c r="P24" s="111">
        <v>9.7799999999999994</v>
      </c>
      <c r="S24" s="1">
        <f t="shared" si="10"/>
        <v>4.3543570538378988</v>
      </c>
      <c r="T24" s="153">
        <f>P24</f>
        <v>9.7799999999999994</v>
      </c>
    </row>
    <row r="25" spans="1:33" s="78" customFormat="1" ht="19.899999999999999" customHeight="1" x14ac:dyDescent="0.25">
      <c r="A25" s="132" t="s">
        <v>162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25"/>
      <c r="N25" s="125"/>
      <c r="O25" s="125"/>
      <c r="P25" s="137">
        <f>P26+P27</f>
        <v>1.6378613221806846</v>
      </c>
      <c r="S25" s="1">
        <f t="shared" si="10"/>
        <v>0.72922627826643471</v>
      </c>
      <c r="T25" s="152">
        <f>T26+T27</f>
        <v>0.72922627826643471</v>
      </c>
    </row>
    <row r="26" spans="1:33" s="78" customFormat="1" ht="19.899999999999999" customHeight="1" x14ac:dyDescent="0.25">
      <c r="A26" s="108" t="s">
        <v>152</v>
      </c>
      <c r="B26" s="108">
        <v>1.58</v>
      </c>
      <c r="C26" s="109">
        <f>ЗП!M10</f>
        <v>154.61664974619285</v>
      </c>
      <c r="D26" s="109">
        <f>B26*C26</f>
        <v>244.29430659898472</v>
      </c>
      <c r="E26" s="109">
        <f>D26*0.302</f>
        <v>73.776880592893377</v>
      </c>
      <c r="F26" s="109">
        <f>'Материалы, инвентарь'!E39</f>
        <v>156.1823</v>
      </c>
      <c r="G26" s="109">
        <f>'Спец одежда'!G13</f>
        <v>3030.048632</v>
      </c>
      <c r="H26" s="126">
        <f>D26*0.4429</f>
        <v>108.19794839269034</v>
      </c>
      <c r="I26" s="126">
        <f>(D26+E26+F26+G26)*0.964</f>
        <v>3378.14724290097</v>
      </c>
      <c r="J26" s="126">
        <f>D26+E26+F26+G26+H26+I26</f>
        <v>6990.6473104855377</v>
      </c>
      <c r="K26" s="126">
        <f>J26*0.1</f>
        <v>699.06473104855377</v>
      </c>
      <c r="L26" s="126">
        <f>(J26+K26)*0.18</f>
        <v>1384.1481674761365</v>
      </c>
      <c r="M26" s="126" t="s">
        <v>32</v>
      </c>
      <c r="N26" s="122">
        <f>J26+K26+L26</f>
        <v>9073.8602090102286</v>
      </c>
      <c r="O26" s="129">
        <f>N26/12</f>
        <v>756.15501741751905</v>
      </c>
      <c r="P26" s="123">
        <f>O26/1000</f>
        <v>0.756155017417519</v>
      </c>
      <c r="S26" s="1">
        <f t="shared" si="10"/>
        <v>0.33666349017248398</v>
      </c>
      <c r="T26" s="153">
        <v>0.33666349017248398</v>
      </c>
    </row>
    <row r="27" spans="1:33" s="78" customFormat="1" ht="19.899999999999999" customHeight="1" x14ac:dyDescent="0.25">
      <c r="A27" s="108" t="s">
        <v>143</v>
      </c>
      <c r="B27" s="108">
        <v>4.3600000000000003</v>
      </c>
      <c r="C27" s="109">
        <f>ЗП!M10</f>
        <v>154.61664974619285</v>
      </c>
      <c r="D27" s="109">
        <f>B27*C27</f>
        <v>674.12859289340088</v>
      </c>
      <c r="E27" s="109">
        <f>D27*0.302</f>
        <v>203.58683505380705</v>
      </c>
      <c r="F27" s="109">
        <f>'Материалы, инвентарь'!E43</f>
        <v>90.604799999999997</v>
      </c>
      <c r="G27" s="109">
        <f>'Спец одежда'!G13</f>
        <v>3030.048632</v>
      </c>
      <c r="H27" s="126">
        <f>D27*0.4429</f>
        <v>298.57155379248724</v>
      </c>
      <c r="I27" s="126">
        <f>(D27+E27+F27+G27)*0.964</f>
        <v>3854.4275809891083</v>
      </c>
      <c r="J27" s="126">
        <f>D27+E27+F27+G27+H27+I27</f>
        <v>8151.3679947288038</v>
      </c>
      <c r="K27" s="126">
        <f>J27*0.1</f>
        <v>815.1367994728804</v>
      </c>
      <c r="L27" s="126">
        <f>(J27+K27)*0.18</f>
        <v>1613.9708629563031</v>
      </c>
      <c r="M27" s="126" t="s">
        <v>46</v>
      </c>
      <c r="N27" s="122">
        <f>J27+K27+L27</f>
        <v>10580.475657157987</v>
      </c>
      <c r="O27" s="129">
        <f>N27/12</f>
        <v>881.70630476316558</v>
      </c>
      <c r="P27" s="123">
        <f>O27/1000</f>
        <v>0.88170630476316558</v>
      </c>
      <c r="S27" s="1">
        <f t="shared" si="10"/>
        <v>0.39256278809395079</v>
      </c>
      <c r="T27" s="153">
        <v>0.39256278809395079</v>
      </c>
    </row>
    <row r="28" spans="1:33" s="78" customFormat="1" ht="19.899999999999999" customHeight="1" x14ac:dyDescent="0.25">
      <c r="A28" s="132" t="s">
        <v>161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25"/>
      <c r="N28" s="125"/>
      <c r="O28" s="125"/>
      <c r="P28" s="137">
        <f>P29</f>
        <v>1.73</v>
      </c>
      <c r="S28" s="1">
        <f t="shared" si="10"/>
        <v>0.77024925389975107</v>
      </c>
      <c r="T28" s="152">
        <f>T29</f>
        <v>0.77024925389975107</v>
      </c>
    </row>
    <row r="29" spans="1:33" s="78" customFormat="1" ht="19.899999999999999" customHeight="1" x14ac:dyDescent="0.25">
      <c r="A29" s="108" t="s">
        <v>124</v>
      </c>
      <c r="B29" s="106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26" t="s">
        <v>34</v>
      </c>
      <c r="N29" s="109">
        <f>P29*12*595</f>
        <v>12352.199999999999</v>
      </c>
      <c r="O29" s="129">
        <f>P29*12*595</f>
        <v>12352.199999999999</v>
      </c>
      <c r="P29" s="111">
        <v>1.73</v>
      </c>
      <c r="S29" s="1">
        <f t="shared" si="10"/>
        <v>0.77024925389975107</v>
      </c>
      <c r="T29" s="153">
        <v>0.77024925389975107</v>
      </c>
    </row>
    <row r="30" spans="1:33" ht="19.899999999999999" customHeight="1" x14ac:dyDescent="0.25">
      <c r="A30" s="106" t="s">
        <v>28</v>
      </c>
      <c r="B30" s="108"/>
      <c r="C30" s="108"/>
      <c r="D30" s="109">
        <f>SUM(D14:D29)</f>
        <v>5346.335336040609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>
        <f>SUM(N14:N29)</f>
        <v>253710.01273963592</v>
      </c>
      <c r="O30" s="129">
        <f>P30*12*595</f>
        <v>155960.09858008334</v>
      </c>
      <c r="P30" s="112">
        <f>P14+P16+P22+P25+P28</f>
        <v>21.843151061636323</v>
      </c>
      <c r="Q30" s="141">
        <f>P30-P22</f>
        <v>9.5231510616363231</v>
      </c>
      <c r="R30" s="1">
        <f>16.66-2.64-9.78</f>
        <v>4.24</v>
      </c>
      <c r="S30" s="1">
        <f>R30/Q30</f>
        <v>0.44523078260101218</v>
      </c>
      <c r="T30" s="149">
        <f>T14+T16+T22+T25+T28</f>
        <v>16.661600000000004</v>
      </c>
    </row>
    <row r="31" spans="1:33" x14ac:dyDescent="0.25">
      <c r="N31" s="79"/>
      <c r="O31" s="80"/>
      <c r="P31" s="107"/>
    </row>
    <row r="69" spans="4:16" x14ac:dyDescent="0.25"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P69" s="1"/>
    </row>
    <row r="70" spans="4:16" x14ac:dyDescent="0.25"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</row>
    <row r="71" spans="4:16" x14ac:dyDescent="0.25"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</row>
    <row r="72" spans="4:16" x14ac:dyDescent="0.25"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P72" s="1"/>
    </row>
    <row r="73" spans="4:16" x14ac:dyDescent="0.25"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</row>
    <row r="74" spans="4:16" x14ac:dyDescent="0.25"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P74" s="1"/>
    </row>
    <row r="75" spans="4:16" x14ac:dyDescent="0.25"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P75" s="1"/>
    </row>
    <row r="76" spans="4:16" x14ac:dyDescent="0.25"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</row>
    <row r="77" spans="4:16" x14ac:dyDescent="0.25"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</row>
    <row r="78" spans="4:16" x14ac:dyDescent="0.25"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P78" s="1"/>
    </row>
    <row r="79" spans="4:16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P79" s="1"/>
    </row>
    <row r="80" spans="4:16" x14ac:dyDescent="0.25"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</row>
    <row r="81" spans="4:16" x14ac:dyDescent="0.25"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</row>
    <row r="82" spans="4:16" x14ac:dyDescent="0.25"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P82" s="1"/>
    </row>
    <row r="83" spans="4:16" x14ac:dyDescent="0.25"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P83" s="1"/>
    </row>
    <row r="84" spans="4:16" x14ac:dyDescent="0.25"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</row>
    <row r="85" spans="4:16" x14ac:dyDescent="0.25"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</row>
    <row r="86" spans="4:16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</row>
    <row r="87" spans="4:16" x14ac:dyDescent="0.25"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</row>
    <row r="88" spans="4:16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</row>
    <row r="89" spans="4:16" x14ac:dyDescent="0.25"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P89" s="1"/>
    </row>
    <row r="90" spans="4:16" x14ac:dyDescent="0.25"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P90" s="1"/>
    </row>
    <row r="91" spans="4:16" x14ac:dyDescent="0.25"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P91" s="1"/>
    </row>
    <row r="92" spans="4:16" x14ac:dyDescent="0.25"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P92" s="1"/>
    </row>
    <row r="93" spans="4:16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P93" s="1"/>
    </row>
    <row r="94" spans="4:16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P94" s="1"/>
    </row>
    <row r="95" spans="4:16" x14ac:dyDescent="0.25"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</row>
    <row r="96" spans="4:16" x14ac:dyDescent="0.25"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P96" s="1"/>
    </row>
    <row r="97" spans="4:16" x14ac:dyDescent="0.25"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P97" s="1"/>
    </row>
    <row r="98" spans="4:16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P98" s="1"/>
    </row>
    <row r="99" spans="4:16" x14ac:dyDescent="0.25"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P99" s="1"/>
    </row>
    <row r="100" spans="4:16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P100" s="1"/>
    </row>
    <row r="101" spans="4:16" x14ac:dyDescent="0.25"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</row>
    <row r="102" spans="4:16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P102" s="1"/>
    </row>
    <row r="103" spans="4:16" x14ac:dyDescent="0.25"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P103" s="1"/>
    </row>
    <row r="104" spans="4:16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P104" s="1"/>
    </row>
    <row r="105" spans="4:16" x14ac:dyDescent="0.25"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P105" s="1"/>
    </row>
  </sheetData>
  <mergeCells count="8">
    <mergeCell ref="A2:T2"/>
    <mergeCell ref="A3:T3"/>
    <mergeCell ref="A12:T12"/>
    <mergeCell ref="A7:T7"/>
    <mergeCell ref="A8:T8"/>
    <mergeCell ref="A9:T9"/>
    <mergeCell ref="A10:T10"/>
    <mergeCell ref="A11:T11"/>
  </mergeCells>
  <pageMargins left="0.7" right="0.7" top="0.75" bottom="0.75" header="0.3" footer="0.3"/>
  <pageSetup paperSize="9" scale="7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8"/>
  <sheetViews>
    <sheetView workbookViewId="0">
      <selection activeCell="J18" sqref="J18"/>
    </sheetView>
  </sheetViews>
  <sheetFormatPr defaultColWidth="8.85546875" defaultRowHeight="12.75" x14ac:dyDescent="0.2"/>
  <cols>
    <col min="1" max="1" width="3.28515625" style="2" customWidth="1"/>
    <col min="2" max="2" width="22.140625" style="2" customWidth="1"/>
    <col min="3" max="4" width="6.5703125" style="2" customWidth="1"/>
    <col min="5" max="5" width="8.85546875" style="2" customWidth="1"/>
    <col min="6" max="6" width="9.28515625" style="2" customWidth="1"/>
    <col min="7" max="7" width="8.42578125" style="2" customWidth="1"/>
    <col min="8" max="8" width="8.28515625" style="2" customWidth="1"/>
    <col min="9" max="9" width="10" style="2" customWidth="1"/>
    <col min="10" max="11" width="9.85546875" style="2" customWidth="1"/>
    <col min="12" max="12" width="10.42578125" style="2" customWidth="1"/>
    <col min="13" max="13" width="9.7109375" style="2" customWidth="1"/>
    <col min="14" max="16384" width="8.85546875" style="2"/>
  </cols>
  <sheetData>
    <row r="1" spans="1:100" ht="15" x14ac:dyDescent="0.2">
      <c r="A1" s="158" t="s">
        <v>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00" ht="15" x14ac:dyDescent="0.2">
      <c r="A2" s="158" t="s">
        <v>16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00" ht="15" x14ac:dyDescent="0.2">
      <c r="A3" s="158" t="s">
        <v>17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00" ht="13.9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00" ht="13.9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7" spans="1:100" ht="63.75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51</v>
      </c>
      <c r="M7" s="3" t="s">
        <v>13</v>
      </c>
    </row>
    <row r="8" spans="1:100" ht="13.1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00" x14ac:dyDescent="0.2">
      <c r="A9" s="13">
        <v>1</v>
      </c>
      <c r="B9" s="8" t="s">
        <v>14</v>
      </c>
      <c r="C9" s="13">
        <v>4</v>
      </c>
      <c r="D9" s="3">
        <v>5412</v>
      </c>
      <c r="E9" s="3">
        <f>216.5+1353.1</f>
        <v>1569.6</v>
      </c>
      <c r="F9" s="3">
        <f>D9+E9</f>
        <v>6981.6</v>
      </c>
      <c r="G9" s="13">
        <f>F9*0.2</f>
        <v>1396.3200000000002</v>
      </c>
      <c r="H9" s="13">
        <v>10053.4</v>
      </c>
      <c r="I9" s="5">
        <v>24554.6</v>
      </c>
      <c r="J9" s="5">
        <f>I9*12+K9</f>
        <v>306561.59999999998</v>
      </c>
      <c r="K9" s="5">
        <f>D9*2.2</f>
        <v>11906.400000000001</v>
      </c>
      <c r="L9" s="5">
        <v>1970</v>
      </c>
      <c r="M9" s="5">
        <f>(J9)/L9</f>
        <v>155.61502538071065</v>
      </c>
    </row>
    <row r="10" spans="1:100" ht="38.25" x14ac:dyDescent="0.2">
      <c r="A10" s="13">
        <v>2</v>
      </c>
      <c r="B10" s="9" t="s">
        <v>27</v>
      </c>
      <c r="C10" s="13">
        <v>2</v>
      </c>
      <c r="D10" s="3">
        <v>4518</v>
      </c>
      <c r="E10" s="3">
        <f>1129.5</f>
        <v>1129.5</v>
      </c>
      <c r="F10" s="13">
        <f>D10+E10</f>
        <v>5647.5</v>
      </c>
      <c r="G10" s="13">
        <v>1694.3</v>
      </c>
      <c r="H10" s="13">
        <v>8810.2000000000007</v>
      </c>
      <c r="I10" s="5">
        <v>24554.6</v>
      </c>
      <c r="J10" s="5">
        <f>I10*12+K10</f>
        <v>304594.79999999993</v>
      </c>
      <c r="K10" s="5">
        <f>D10*2.2</f>
        <v>9939.6</v>
      </c>
      <c r="L10" s="5">
        <v>1970</v>
      </c>
      <c r="M10" s="5">
        <f>(J10)/L10</f>
        <v>154.61664974619285</v>
      </c>
    </row>
    <row r="11" spans="1:100" s="11" customFormat="1" x14ac:dyDescent="0.25">
      <c r="A11" s="14">
        <v>3</v>
      </c>
      <c r="B11" s="10" t="s">
        <v>29</v>
      </c>
      <c r="C11" s="14">
        <v>4</v>
      </c>
      <c r="D11" s="14">
        <f t="shared" ref="D11:K11" si="0">D9</f>
        <v>5412</v>
      </c>
      <c r="E11" s="14">
        <f t="shared" si="0"/>
        <v>1569.6</v>
      </c>
      <c r="F11" s="14">
        <f t="shared" si="0"/>
        <v>6981.6</v>
      </c>
      <c r="G11" s="14">
        <f t="shared" si="0"/>
        <v>1396.3200000000002</v>
      </c>
      <c r="H11" s="14">
        <f t="shared" si="0"/>
        <v>10053.4</v>
      </c>
      <c r="I11" s="16">
        <f>I9</f>
        <v>24554.6</v>
      </c>
      <c r="J11" s="16">
        <f t="shared" si="0"/>
        <v>306561.59999999998</v>
      </c>
      <c r="K11" s="16">
        <f t="shared" si="0"/>
        <v>11906.400000000001</v>
      </c>
      <c r="L11" s="5">
        <v>1970</v>
      </c>
      <c r="M11" s="16">
        <f>M9</f>
        <v>155.61502538071065</v>
      </c>
    </row>
    <row r="12" spans="1:100" s="12" customFormat="1" x14ac:dyDescent="0.25">
      <c r="A12" s="15">
        <v>4</v>
      </c>
      <c r="B12" s="12" t="s">
        <v>30</v>
      </c>
      <c r="C12" s="15">
        <f>C11</f>
        <v>4</v>
      </c>
      <c r="D12" s="15">
        <f>D11</f>
        <v>5412</v>
      </c>
      <c r="E12" s="15">
        <f>E9</f>
        <v>1569.6</v>
      </c>
      <c r="F12" s="15">
        <f>F11</f>
        <v>6981.6</v>
      </c>
      <c r="G12" s="15">
        <f>G9</f>
        <v>1396.3200000000002</v>
      </c>
      <c r="H12" s="15">
        <f>H9</f>
        <v>10053.4</v>
      </c>
      <c r="I12" s="17">
        <f>I9</f>
        <v>24554.6</v>
      </c>
      <c r="J12" s="17">
        <f>J9</f>
        <v>306561.59999999998</v>
      </c>
      <c r="K12" s="17">
        <f>K10</f>
        <v>9939.6</v>
      </c>
      <c r="L12" s="5">
        <v>1970</v>
      </c>
      <c r="M12" s="17">
        <f>M9</f>
        <v>155.61502538071065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</row>
    <row r="13" spans="1:100" x14ac:dyDescent="0.2">
      <c r="A13" s="23">
        <v>5</v>
      </c>
      <c r="B13" s="24" t="s">
        <v>35</v>
      </c>
      <c r="C13" s="23">
        <v>5</v>
      </c>
      <c r="D13" s="23">
        <v>6173</v>
      </c>
      <c r="E13" s="23">
        <f>493.84+1543.26</f>
        <v>2037.1</v>
      </c>
      <c r="F13" s="23">
        <f>D13+E13</f>
        <v>8210.1</v>
      </c>
      <c r="G13" s="23">
        <f>D13*1.08</f>
        <v>6666.84</v>
      </c>
      <c r="H13" s="23">
        <f>14911.52</f>
        <v>14911.52</v>
      </c>
      <c r="I13" s="17">
        <v>27337.78</v>
      </c>
      <c r="J13" s="23">
        <f>I13*12+K13</f>
        <v>341633.95999999996</v>
      </c>
      <c r="K13" s="23">
        <f>D13*2.2</f>
        <v>13580.6</v>
      </c>
      <c r="L13" s="5">
        <v>1970</v>
      </c>
      <c r="M13" s="17">
        <f>J13/L13</f>
        <v>173.41825380710657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100" s="29" customFormat="1" ht="12" customHeight="1" x14ac:dyDescent="0.25">
      <c r="A14" s="15">
        <v>6</v>
      </c>
      <c r="B14" s="26" t="s">
        <v>47</v>
      </c>
      <c r="C14" s="15">
        <v>8</v>
      </c>
      <c r="D14" s="15">
        <v>9080</v>
      </c>
      <c r="E14" s="15">
        <v>2270</v>
      </c>
      <c r="F14" s="15">
        <f>11350</f>
        <v>11350</v>
      </c>
      <c r="G14" s="15">
        <v>908</v>
      </c>
      <c r="H14" s="15">
        <v>14709.6</v>
      </c>
      <c r="I14" s="17">
        <v>26967.599999999999</v>
      </c>
      <c r="J14" s="27">
        <f>I14*12+K14</f>
        <v>343587.19999999995</v>
      </c>
      <c r="K14" s="27">
        <f>D14*2.2</f>
        <v>19976</v>
      </c>
      <c r="L14" s="5">
        <v>1970</v>
      </c>
      <c r="M14" s="17">
        <f>J14/L14</f>
        <v>174.40974619289338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100" s="6" customFormat="1" ht="17.25" customHeight="1" x14ac:dyDescent="0.3"/>
    <row r="18" spans="2:2" ht="15.75" x14ac:dyDescent="0.25">
      <c r="B18" s="6" t="s">
        <v>15</v>
      </c>
    </row>
  </sheetData>
  <mergeCells count="5"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ЗП</vt:lpstr>
      <vt:lpstr>Материалы, инвентарь</vt:lpstr>
      <vt:lpstr>Спец одежда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</dc:creator>
  <cp:lastModifiedBy>admin</cp:lastModifiedBy>
  <cp:lastPrinted>2018-07-04T06:10:04Z</cp:lastPrinted>
  <dcterms:created xsi:type="dcterms:W3CDTF">2016-07-25T10:45:30Z</dcterms:created>
  <dcterms:modified xsi:type="dcterms:W3CDTF">2018-07-04T06:10:08Z</dcterms:modified>
</cp:coreProperties>
</file>